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ino6ytKP0FrVZrSOEnmQtAy8dLmg=="/>
    </ext>
  </extLst>
</workbook>
</file>

<file path=xl/sharedStrings.xml><?xml version="1.0" encoding="utf-8"?>
<sst xmlns="http://schemas.openxmlformats.org/spreadsheetml/2006/main" count="328" uniqueCount="120">
  <si>
    <t>CHECKLIST BIRD SPECIES IN SVALBARD</t>
  </si>
  <si>
    <t>SCIENTIFIC NAME</t>
  </si>
  <si>
    <t>STATUS</t>
  </si>
  <si>
    <t>Order: Anseriformes (andefugler)</t>
  </si>
  <si>
    <t>Common annual breeder (&lt; 10 000 pairs)</t>
  </si>
  <si>
    <t>Problably annual breeder</t>
  </si>
  <si>
    <t>Rare. Fewer than 5 records</t>
  </si>
  <si>
    <t>Branta canadensis</t>
  </si>
  <si>
    <t>Rare. Fewer than 20 records</t>
  </si>
  <si>
    <t>Branta canadensis interior</t>
  </si>
  <si>
    <t>Abundant annual breeder (&gt; 10 000 pairs)</t>
  </si>
  <si>
    <t>Frequent (annual occurrence in small numbers, regularly occurring)</t>
  </si>
  <si>
    <t>Frequent (annual occurrence in small numbers, regulary occurring). Problably irregular breeder</t>
  </si>
  <si>
    <t>Frequent (annual occurrence in small numbers, regularly occurring). Irregular breeder (Bjørnøya)</t>
  </si>
  <si>
    <t>Occasional (relatively frequent occasional visitor). Problably irregular breeder</t>
  </si>
  <si>
    <t>Frequent (annual occurrence in small numbers, regularly occurring). Problably irregular breeder</t>
  </si>
  <si>
    <t>Frequent (annual occurrence in small numbers, regularly occurring). Rare breeder</t>
  </si>
  <si>
    <t>Frequent (annual occurrence in small numbers, regularly occurring). Irregular breeder</t>
  </si>
  <si>
    <t>Occasional (relatively frequent occasional visitor)</t>
  </si>
  <si>
    <t>White-winged Scoter</t>
  </si>
  <si>
    <t>Melanitta deglandi</t>
  </si>
  <si>
    <t>Amerikasjøorre</t>
  </si>
  <si>
    <t>Frequent (annual occurrence in small numbers, regularly occurring). Problably annual breeder.</t>
  </si>
  <si>
    <t>Occasional (relatively frequent occasional visitor). Problably annual breeder</t>
  </si>
  <si>
    <t>Order: Galliformes (hønsefugler)</t>
  </si>
  <si>
    <t>Order: Apodiformes (seilere)</t>
  </si>
  <si>
    <t>Order: Cuculiformes (gjøker)</t>
  </si>
  <si>
    <t>Order: Columbiformes (duefugler)</t>
  </si>
  <si>
    <t>Order: Gruiformes (tranefugler)</t>
  </si>
  <si>
    <t>Order: Podicipediformes (dykkere)</t>
  </si>
  <si>
    <t>Order: Charadriiformes (vade- måke- og alkefugler)</t>
  </si>
  <si>
    <t>Irregular</t>
  </si>
  <si>
    <t>Frequent (annual occurrence in small numbers, regulary occurring). Uncommon annual breeder</t>
  </si>
  <si>
    <t>Rare. Fewer than 20 records. Found breeding at Spitsbergen once</t>
  </si>
  <si>
    <t>Common but dispersed breeder</t>
  </si>
  <si>
    <t>Uncommon annual breeder</t>
  </si>
  <si>
    <t>Frequent (annual occurrence in small numbers, regularly occurring). Problably annual breeder</t>
  </si>
  <si>
    <t>Uncommon annual breeder (&gt;20 par)</t>
  </si>
  <si>
    <t>Occasional (relatively frequent occasional visitor). Found breeding at Spitsbergen (once)</t>
  </si>
  <si>
    <t>Frequent (annual occurrence in small numbers, regularly occurring). Uncommon annual breeder on Bjørnøya</t>
  </si>
  <si>
    <t>Frequent (annual occurrence in small numbers, regularly occurring). Uncommon annual breeder</t>
  </si>
  <si>
    <t>Uncommon annual breeder (&gt;15 pairs)</t>
  </si>
  <si>
    <t>Abundant annual breeder (&gt; 10 000 pairs) on Bjørnøya. Uncommon annual breeder on Spitsbergen</t>
  </si>
  <si>
    <t>Order: Gaviiformes (lommer)</t>
  </si>
  <si>
    <t>Rare. Fewer than 20 records. Found breeding at Bjørnøya (once)</t>
  </si>
  <si>
    <t>Irregular breeder on Bjørnøya. Frequent (annual occurrence in small numbers). Problably annual breeder in Spitsbergen</t>
  </si>
  <si>
    <t xml:space="preserve"> Order: Procellariiformes (stormfugler)</t>
  </si>
  <si>
    <t>Rare. Fewer than 5 records. Recorded only in Barents/Greenland seas</t>
  </si>
  <si>
    <t xml:space="preserve"> Order: Suliformes (sulefugler)</t>
  </si>
  <si>
    <t>Common but dispersed breeder on Bjørnøya. Occasional (relatively frequent occasional visitor)</t>
  </si>
  <si>
    <t>Order: Pelicaniformes (pelikan- og hegrefugler)</t>
  </si>
  <si>
    <t>Order: Accipitriformes (haukefugler)</t>
  </si>
  <si>
    <t>European Honey Buzzard</t>
  </si>
  <si>
    <t>Pernis apivorus</t>
  </si>
  <si>
    <t>Vepsevåk</t>
  </si>
  <si>
    <t>Black Kite</t>
  </si>
  <si>
    <t>Milvus migrans</t>
  </si>
  <si>
    <t>Svartglente</t>
  </si>
  <si>
    <t>Havørn</t>
  </si>
  <si>
    <t>Common Buzzard</t>
  </si>
  <si>
    <t>Buteo buteo</t>
  </si>
  <si>
    <t>Musvåk</t>
  </si>
  <si>
    <t>Order: Strigiformes (ugler)</t>
  </si>
  <si>
    <t>Order: Bucerotiformes (horn- og hærfugler)</t>
  </si>
  <si>
    <r>
      <rPr>
        <rFont val="Arial"/>
        <b/>
        <color theme="1"/>
        <sz val="8.0"/>
      </rPr>
      <t>Order: Piciformes (spettefugler</t>
    </r>
    <r>
      <rPr>
        <rFont val="Arial"/>
        <b/>
        <color theme="1"/>
        <sz val="8.0"/>
      </rPr>
      <t>)</t>
    </r>
  </si>
  <si>
    <t>Eurasian Wryneck</t>
  </si>
  <si>
    <t>Jynx torquilla</t>
  </si>
  <si>
    <t>Vendehals</t>
  </si>
  <si>
    <t>Order: Falconiformes (falkefugler)</t>
  </si>
  <si>
    <t>Gyrfalcon</t>
  </si>
  <si>
    <t>Order: Passeriformes (spurvefugler)</t>
  </si>
  <si>
    <t>Eurasian Golden Oriole</t>
  </si>
  <si>
    <t>Oriolus oriolus</t>
  </si>
  <si>
    <t>Pirol</t>
  </si>
  <si>
    <t>Rare. Occasional visitor</t>
  </si>
  <si>
    <t>Rare. Fewer than 5 records. Found breeding at Spitsbergen (once)</t>
  </si>
  <si>
    <t>Rosy Starling</t>
  </si>
  <si>
    <t>Pastor roseus</t>
  </si>
  <si>
    <t>Rosenstær</t>
  </si>
  <si>
    <t>Occasional (relatively frequent occasional visitor). Found breeding on Bear Island (once)</t>
  </si>
  <si>
    <t>Occasional (relatively frequent occasional visitor). Found breeding a few times</t>
  </si>
  <si>
    <t>Black-throated Thrush</t>
  </si>
  <si>
    <t>Turdus atrogularis</t>
  </si>
  <si>
    <t>Svartstrupetrost</t>
  </si>
  <si>
    <t>Frequent (annual occurrence in small numbers, regularly occurring). Irregular breeder. Maybe annual breeding at Bjørnøya</t>
  </si>
  <si>
    <t>Irregular breeder (might make annual breeding attempts)</t>
  </si>
  <si>
    <t>Olive-backed Pipit</t>
  </si>
  <si>
    <t>Anthus hodgsoni</t>
  </si>
  <si>
    <t>Sibirpiplerke</t>
  </si>
  <si>
    <t>Occasional (relatively frequent occasional visitor). Irregular breeder</t>
  </si>
  <si>
    <t>Rare. Fewer than 20 records. Problably annual breeder</t>
  </si>
  <si>
    <t>Hybrid birds</t>
  </si>
  <si>
    <t>Common Eider x Steller's Eider</t>
  </si>
  <si>
    <t>Somateria spectabilis/polysticta stelleri</t>
  </si>
  <si>
    <t>ærfugl/stellerand</t>
  </si>
  <si>
    <t>Species in Svalbard rendered as observed without any further documentation</t>
  </si>
  <si>
    <t>Barrow's Goldeneye</t>
  </si>
  <si>
    <t>Bucephala islandica</t>
  </si>
  <si>
    <t>Islandsand</t>
  </si>
  <si>
    <t>Sharp-tailed Sandpiper</t>
  </si>
  <si>
    <t>Calidris acuminata</t>
  </si>
  <si>
    <t>Spisshalesnipe</t>
  </si>
  <si>
    <t>Broad-billed Sandpiper</t>
  </si>
  <si>
    <t>Limicola falcinellus</t>
  </si>
  <si>
    <t>Fjellmyrløper</t>
  </si>
  <si>
    <t>Bar-tailed Godwit</t>
  </si>
  <si>
    <t>Limosa lapponica</t>
  </si>
  <si>
    <t>Lappspove</t>
  </si>
  <si>
    <t>Common Tern</t>
  </si>
  <si>
    <t>Sterna hirundo</t>
  </si>
  <si>
    <t>Makrellterne</t>
  </si>
  <si>
    <t>Richard's Pipit</t>
  </si>
  <si>
    <t>Anthus richardi</t>
  </si>
  <si>
    <t>Tartarpiplerke</t>
  </si>
  <si>
    <t>European Stonechat</t>
  </si>
  <si>
    <t>Saxicola rubicola</t>
  </si>
  <si>
    <t>Svartstrupe</t>
  </si>
  <si>
    <t>Carrion Crow</t>
  </si>
  <si>
    <t>Corvus corone</t>
  </si>
  <si>
    <t>Svartkråke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</si>
</sst>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7">
    <font>
      <sz val="11.0"/>
      <color theme="1"/>
      <name val="Calibri"/>
      <scheme val="minor"/>
    </font>
    <font>
      <b/>
      <sz val="16.0"/>
      <color rgb="FF000000"/>
      <name val="Calibri"/>
    </font>
    <font/>
    <font>
      <sz val="11.0"/>
      <color theme="1"/>
      <name val="Calibri"/>
    </font>
    <font>
      <b/>
      <sz val="9.0"/>
      <color theme="1"/>
      <name val="Arial"/>
    </font>
    <font>
      <b/>
      <sz val="8.0"/>
      <color theme="1"/>
      <name val="Arial"/>
    </font>
    <font>
      <sz val="8.0"/>
      <color theme="1"/>
      <name val="Arial"/>
    </font>
    <font>
      <u/>
      <sz val="8.0"/>
      <color rgb="FF1155CC"/>
      <name val="Arial"/>
    </font>
    <font>
      <i/>
      <u/>
      <sz val="8.0"/>
      <color rgb="FF1155CC"/>
      <name val="Arial"/>
    </font>
    <font>
      <i/>
      <u/>
      <sz val="8.0"/>
      <color rgb="FF1155CC"/>
      <name val="Arial"/>
    </font>
    <font>
      <u/>
      <sz val="8.0"/>
      <color rgb="FF1155CC"/>
      <name val="Arial"/>
    </font>
    <font>
      <i/>
      <u/>
      <sz val="8.0"/>
      <color rgb="FF1155CC"/>
      <name val="Arial"/>
    </font>
    <font>
      <u/>
      <sz val="8.0"/>
      <color rgb="FF0000FF"/>
      <name val="Arial"/>
    </font>
    <font>
      <i/>
      <u/>
      <sz val="8.0"/>
      <color rgb="FF0000FF"/>
      <name val="Arial"/>
    </font>
    <font>
      <u/>
      <sz val="8.0"/>
      <color rgb="FF0000FF"/>
      <name val="Arial"/>
    </font>
    <font>
      <i/>
      <u/>
      <sz val="8.0"/>
      <color rgb="FF0000FF"/>
      <name val="Arial"/>
    </font>
    <font>
      <u/>
      <sz val="8.0"/>
      <color rgb="FF0000FF"/>
      <name val="Arial"/>
    </font>
    <font>
      <i/>
      <u/>
      <sz val="8.0"/>
      <color rgb="FF0000FF"/>
      <name val="Arial"/>
    </font>
    <font>
      <u/>
      <sz val="8.0"/>
      <color rgb="FF0563C1"/>
      <name val="Arial"/>
    </font>
    <font>
      <u/>
      <sz val="8.0"/>
      <color rgb="FF1155CC"/>
      <name val="Arial"/>
    </font>
    <font>
      <i/>
      <u/>
      <sz val="8.0"/>
      <color rgb="FF1155CC"/>
      <name val="Arial"/>
    </font>
    <font>
      <u/>
      <sz val="8.0"/>
      <color rgb="FF1155CC"/>
      <name val="Arial"/>
    </font>
    <font>
      <i/>
      <u/>
      <sz val="8.0"/>
      <color rgb="FF1155CC"/>
      <name val="Arial"/>
    </font>
    <font>
      <sz val="9.0"/>
      <color theme="1"/>
      <name val="Arial"/>
    </font>
    <font>
      <b/>
      <sz val="11.0"/>
      <color theme="1"/>
      <name val="Calibri"/>
      <scheme val="minor"/>
    </font>
    <font>
      <i/>
      <sz val="8.0"/>
      <color theme="1"/>
      <name val="Arial"/>
    </font>
    <font>
      <sz val="8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BDD6EE"/>
        <bgColor rgb="FFBDD6EE"/>
      </patternFill>
    </fill>
    <fill>
      <patternFill patternType="solid">
        <fgColor rgb="FFFFFFFF"/>
        <bgColor rgb="FFFFFFFF"/>
      </patternFill>
    </fill>
  </fills>
  <borders count="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vertical="bottom" wrapText="0"/>
    </xf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ill="1" applyFont="1">
      <alignment vertical="bottom"/>
    </xf>
    <xf borderId="4" fillId="2" fontId="4" numFmtId="0" xfId="0" applyAlignment="1" applyBorder="1" applyFont="1">
      <alignment readingOrder="0" vertical="bottom"/>
    </xf>
    <xf borderId="4" fillId="2" fontId="4" numFmtId="0" xfId="0" applyAlignment="1" applyBorder="1" applyFont="1">
      <alignment vertical="bottom"/>
    </xf>
    <xf borderId="4" fillId="0" fontId="3" numFmtId="0" xfId="0" applyAlignment="1" applyBorder="1" applyFont="1">
      <alignment vertical="bottom"/>
    </xf>
    <xf borderId="2" fillId="0" fontId="5" numFmtId="0" xfId="0" applyAlignment="1" applyBorder="1" applyFont="1">
      <alignment vertical="bottom"/>
    </xf>
    <xf borderId="5" fillId="0" fontId="6" numFmtId="0" xfId="0" applyAlignment="1" applyBorder="1" applyFont="1">
      <alignment horizontal="right" vertical="bottom"/>
    </xf>
    <xf borderId="6" fillId="0" fontId="7" numFmtId="0" xfId="0" applyAlignment="1" applyBorder="1" applyFont="1">
      <alignment vertical="bottom"/>
    </xf>
    <xf borderId="6" fillId="0" fontId="8" numFmtId="0" xfId="0" applyAlignment="1" applyBorder="1" applyFont="1">
      <alignment vertical="bottom"/>
    </xf>
    <xf borderId="6" fillId="0" fontId="6" numFmtId="0" xfId="0" applyAlignment="1" applyBorder="1" applyFont="1">
      <alignment vertical="bottom"/>
    </xf>
    <xf borderId="5" fillId="0" fontId="3" numFmtId="0" xfId="0" applyAlignment="1" applyBorder="1" applyFont="1">
      <alignment vertical="bottom"/>
    </xf>
    <xf borderId="6" fillId="0" fontId="3" numFmtId="0" xfId="0" applyAlignment="1" applyBorder="1" applyFont="1">
      <alignment vertical="bottom"/>
    </xf>
    <xf borderId="6" fillId="0" fontId="6" numFmtId="0" xfId="0" applyAlignment="1" applyBorder="1" applyFont="1">
      <alignment vertical="bottom"/>
    </xf>
    <xf borderId="6" fillId="0" fontId="9" numFmtId="0" xfId="0" applyAlignment="1" applyBorder="1" applyFont="1">
      <alignment vertical="bottom"/>
    </xf>
    <xf borderId="5" fillId="0" fontId="3" numFmtId="0" xfId="0" applyAlignment="1" applyBorder="1" applyFont="1">
      <alignment vertical="bottom"/>
    </xf>
    <xf borderId="5" fillId="0" fontId="6" numFmtId="1" xfId="0" applyAlignment="1" applyBorder="1" applyFont="1" applyNumberFormat="1">
      <alignment horizontal="right" vertical="bottom"/>
    </xf>
    <xf borderId="6" fillId="0" fontId="10" numFmtId="0" xfId="0" applyAlignment="1" applyBorder="1" applyFont="1">
      <alignment vertical="bottom"/>
    </xf>
    <xf borderId="6" fillId="0" fontId="11" numFmtId="0" xfId="0" applyAlignment="1" applyBorder="1" applyFont="1">
      <alignment vertical="bottom"/>
    </xf>
    <xf borderId="6" fillId="0" fontId="3" numFmtId="0" xfId="0" applyAlignment="1" applyBorder="1" applyFont="1">
      <alignment vertical="bottom"/>
    </xf>
    <xf borderId="0" fillId="0" fontId="5" numFmtId="0" xfId="0" applyFont="1"/>
    <xf borderId="7" fillId="0" fontId="5" numFmtId="0" xfId="0" applyAlignment="1" applyBorder="1" applyFont="1">
      <alignment vertical="bottom"/>
    </xf>
    <xf borderId="7" fillId="0" fontId="2" numFmtId="0" xfId="0" applyBorder="1" applyFont="1"/>
    <xf borderId="6" fillId="0" fontId="2" numFmtId="0" xfId="0" applyBorder="1" applyFont="1"/>
    <xf borderId="6" fillId="0" fontId="5" numFmtId="0" xfId="0" applyAlignment="1" applyBorder="1" applyFont="1">
      <alignment vertical="bottom"/>
    </xf>
    <xf borderId="7" fillId="0" fontId="5" numFmtId="0" xfId="0" applyAlignment="1" applyBorder="1" applyFont="1">
      <alignment vertical="bottom"/>
    </xf>
    <xf borderId="6" fillId="3" fontId="12" numFmtId="0" xfId="0" applyAlignment="1" applyBorder="1" applyFill="1" applyFont="1">
      <alignment readingOrder="0" vertical="bottom"/>
    </xf>
    <xf borderId="6" fillId="3" fontId="13" numFmtId="0" xfId="0" applyAlignment="1" applyBorder="1" applyFont="1">
      <alignment readingOrder="0" vertical="bottom"/>
    </xf>
    <xf borderId="6" fillId="0" fontId="14" numFmtId="0" xfId="0" applyAlignment="1" applyBorder="1" applyFont="1">
      <alignment readingOrder="0" vertical="bottom"/>
    </xf>
    <xf borderId="6" fillId="0" fontId="15" numFmtId="0" xfId="0" applyAlignment="1" applyBorder="1" applyFont="1">
      <alignment vertical="bottom"/>
    </xf>
    <xf borderId="6" fillId="0" fontId="16" numFmtId="0" xfId="0" applyAlignment="1" applyBorder="1" applyFont="1">
      <alignment vertical="bottom"/>
    </xf>
    <xf borderId="6" fillId="0" fontId="17" numFmtId="0" xfId="0" applyAlignment="1" applyBorder="1" applyFont="1">
      <alignment vertical="bottom"/>
    </xf>
    <xf borderId="6" fillId="0" fontId="6" numFmtId="0" xfId="0" applyAlignment="1" applyBorder="1" applyFont="1">
      <alignment horizontal="right" vertical="bottom"/>
    </xf>
    <xf borderId="6" fillId="3" fontId="18" numFmtId="0" xfId="0" applyAlignment="1" applyBorder="1" applyFont="1">
      <alignment readingOrder="0" vertical="bottom"/>
    </xf>
    <xf borderId="5" fillId="0" fontId="3" numFmtId="0" xfId="0" applyAlignment="1" applyBorder="1" applyFont="1">
      <alignment vertical="bottom"/>
    </xf>
    <xf borderId="4" fillId="0" fontId="5" numFmtId="0" xfId="0" applyAlignment="1" applyBorder="1" applyFont="1">
      <alignment vertical="bottom"/>
    </xf>
    <xf borderId="1" fillId="0" fontId="5" numFmtId="0" xfId="0" applyAlignment="1" applyBorder="1" applyFont="1">
      <alignment vertical="bottom"/>
    </xf>
    <xf borderId="4" fillId="0" fontId="6" numFmtId="0" xfId="0" applyAlignment="1" applyBorder="1" applyFont="1">
      <alignment vertical="bottom"/>
    </xf>
    <xf borderId="4" fillId="0" fontId="19" numFmtId="0" xfId="0" applyAlignment="1" applyBorder="1" applyFont="1">
      <alignment vertical="bottom"/>
    </xf>
    <xf borderId="4" fillId="0" fontId="20" numFmtId="0" xfId="0" applyAlignment="1" applyBorder="1" applyFont="1">
      <alignment vertical="bottom"/>
    </xf>
    <xf borderId="4" fillId="0" fontId="21" numFmtId="0" xfId="0" applyAlignment="1" applyBorder="1" applyFont="1">
      <alignment readingOrder="0" vertical="bottom"/>
    </xf>
    <xf borderId="4" fillId="0" fontId="22" numFmtId="0" xfId="0" applyAlignment="1" applyBorder="1" applyFont="1">
      <alignment readingOrder="0" vertical="bottom"/>
    </xf>
    <xf borderId="0" fillId="0" fontId="6" numFmtId="0" xfId="0" applyAlignment="1" applyFont="1">
      <alignment horizontal="left"/>
    </xf>
    <xf borderId="0" fillId="0" fontId="4" numFmtId="0" xfId="0" applyAlignment="1" applyFont="1">
      <alignment horizontal="left"/>
    </xf>
    <xf borderId="0" fillId="0" fontId="23" numFmtId="0" xfId="0" applyFont="1"/>
    <xf borderId="0" fillId="0" fontId="6" numFmtId="0" xfId="0" applyFont="1"/>
    <xf borderId="0" fillId="0" fontId="24" numFmtId="0" xfId="0" applyAlignment="1" applyFont="1">
      <alignment readingOrder="0"/>
    </xf>
    <xf borderId="0" fillId="0" fontId="0" numFmtId="0" xfId="0" applyAlignment="1" applyFont="1">
      <alignment horizontal="left"/>
    </xf>
    <xf borderId="4" fillId="0" fontId="6" numFmtId="0" xfId="0" applyBorder="1" applyFont="1"/>
    <xf borderId="4" fillId="0" fontId="25" numFmtId="0" xfId="0" applyBorder="1" applyFont="1"/>
    <xf borderId="4" fillId="0" fontId="6" numFmtId="0" xfId="0" applyAlignment="1" applyBorder="1" applyFont="1">
      <alignment readingOrder="0"/>
    </xf>
    <xf borderId="4" fillId="0" fontId="26" numFmtId="0" xfId="0" applyAlignment="1" applyBorder="1" applyFont="1">
      <alignment readingOrder="0"/>
    </xf>
    <xf borderId="4" fillId="0" fontId="25" numFmtId="0" xfId="0" applyAlignment="1" applyBorder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47625</xdr:colOff>
      <xdr:row>1</xdr:row>
      <xdr:rowOff>257175</xdr:rowOff>
    </xdr:from>
    <xdr:ext cx="495300" cy="32385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19050</xdr:colOff>
      <xdr:row>1</xdr:row>
      <xdr:rowOff>247650</xdr:rowOff>
    </xdr:from>
    <xdr:ext cx="495300" cy="333375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s://www.artsobservasjoner.no/Share/ViewSightingAsMap/5705844/A9A114D3" TargetMode="External"/><Relationship Id="rId22" Type="http://schemas.openxmlformats.org/officeDocument/2006/relationships/hyperlink" Target="https://www.artsobservasjoner.no/Share/ViewSightingAsMap/5705844/A9A114D3" TargetMode="External"/><Relationship Id="rId21" Type="http://schemas.openxmlformats.org/officeDocument/2006/relationships/hyperlink" Target="https://www.artsobservasjoner.no/Share/ViewSightingAsMap/5705844/A9A114D3" TargetMode="External"/><Relationship Id="rId24" Type="http://schemas.openxmlformats.org/officeDocument/2006/relationships/hyperlink" Target="https://www.artsobservasjoner.no/Share/ViewSightingAsMap/5667684/CC33F821" TargetMode="External"/><Relationship Id="rId23" Type="http://schemas.openxmlformats.org/officeDocument/2006/relationships/hyperlink" Target="https://www.artsobservasjoner.no/Share/ViewSightingAsMap/5667684/CC33F821" TargetMode="External"/><Relationship Id="rId1" Type="http://schemas.openxmlformats.org/officeDocument/2006/relationships/hyperlink" Target="http://svalbardbirds.weebly.com/canada-goose.html" TargetMode="External"/><Relationship Id="rId2" Type="http://schemas.openxmlformats.org/officeDocument/2006/relationships/hyperlink" Target="http://svalbardbirds.weebly.com/canada-goose.html" TargetMode="External"/><Relationship Id="rId3" Type="http://schemas.openxmlformats.org/officeDocument/2006/relationships/hyperlink" Target="https://www.artsobservasjoner.no/Share/ViewSightingAsMap/3665129/B58D16BE" TargetMode="External"/><Relationship Id="rId4" Type="http://schemas.openxmlformats.org/officeDocument/2006/relationships/hyperlink" Target="https://www.artsobservasjoner.no/Share/ViewSightingAsMap/3665129/B58D16BE" TargetMode="External"/><Relationship Id="rId9" Type="http://schemas.openxmlformats.org/officeDocument/2006/relationships/hyperlink" Target="https://www.artsobservasjoner.no/search/map/taxon/3890/area/94166" TargetMode="External"/><Relationship Id="rId26" Type="http://schemas.openxmlformats.org/officeDocument/2006/relationships/hyperlink" Target="https://www.artsobservasjoner.no/ViewSighting/ViewSightingAsMap?storedSearchCriterias=7143440" TargetMode="External"/><Relationship Id="rId25" Type="http://schemas.openxmlformats.org/officeDocument/2006/relationships/hyperlink" Target="https://www.artsobservasjoner.no/Share/ViewSightingAsMap/5667684/CC33F821" TargetMode="External"/><Relationship Id="rId28" Type="http://schemas.openxmlformats.org/officeDocument/2006/relationships/hyperlink" Target="https://www.artsobservasjoner.no/ViewSighting/ViewSightingAsMap?storedSearchCriterias=7143440" TargetMode="External"/><Relationship Id="rId27" Type="http://schemas.openxmlformats.org/officeDocument/2006/relationships/hyperlink" Target="https://www.artsobservasjoner.no/ViewSighting/ViewSightingAsMap?storedSearchCriterias=7143440" TargetMode="External"/><Relationship Id="rId5" Type="http://schemas.openxmlformats.org/officeDocument/2006/relationships/hyperlink" Target="https://www.artsobservasjoner.no/Share/ViewSightingAsMap/3665129/B58D16BE" TargetMode="External"/><Relationship Id="rId6" Type="http://schemas.openxmlformats.org/officeDocument/2006/relationships/hyperlink" Target="https://www.artsobservasjoner.no/Share/ViewSightingAsMap/3665774/482B21CA" TargetMode="External"/><Relationship Id="rId29" Type="http://schemas.openxmlformats.org/officeDocument/2006/relationships/hyperlink" Target="https://www.artsobservasjoner.no/ViewSighting/ViewSightingAsMap?storedSearchCriterias=7143479" TargetMode="External"/><Relationship Id="rId7" Type="http://schemas.openxmlformats.org/officeDocument/2006/relationships/hyperlink" Target="https://www.artsobservasjoner.no/Share/ViewSightingAsMap/3665774/482B21CA" TargetMode="External"/><Relationship Id="rId8" Type="http://schemas.openxmlformats.org/officeDocument/2006/relationships/hyperlink" Target="https://www.artsobservasjoner.no/Share/ViewSightingAsMap/3665774/482B21CA" TargetMode="External"/><Relationship Id="rId31" Type="http://schemas.openxmlformats.org/officeDocument/2006/relationships/hyperlink" Target="https://www.artsobservasjoner.no/ViewSighting/ViewSightingAsMap?storedSearchCriterias=7143479" TargetMode="External"/><Relationship Id="rId30" Type="http://schemas.openxmlformats.org/officeDocument/2006/relationships/hyperlink" Target="https://www.artsobservasjoner.no/ViewSighting/ViewSightingAsMap?storedSearchCriterias=7143479" TargetMode="External"/><Relationship Id="rId11" Type="http://schemas.openxmlformats.org/officeDocument/2006/relationships/hyperlink" Target="https://www.artsobservasjoner.no/search/map/taxon/3890/area/94166" TargetMode="External"/><Relationship Id="rId33" Type="http://schemas.openxmlformats.org/officeDocument/2006/relationships/hyperlink" Target="https://www.artsobservasjoner.no/Share/ViewSightingAsTable/4220606/E2C5DD8E" TargetMode="External"/><Relationship Id="rId10" Type="http://schemas.openxmlformats.org/officeDocument/2006/relationships/hyperlink" Target="https://www.artsobservasjoner.no/search/map/taxon/3890/area/94166" TargetMode="External"/><Relationship Id="rId32" Type="http://schemas.openxmlformats.org/officeDocument/2006/relationships/hyperlink" Target="https://www.artsobservasjoner.no/Share/ViewSightingAsTable/4220606/E2C5DD8E" TargetMode="External"/><Relationship Id="rId13" Type="http://schemas.openxmlformats.org/officeDocument/2006/relationships/hyperlink" Target="https://www.artsobservasjoner.no/Share/ViewSightingAsMap/5605158/D3166026" TargetMode="External"/><Relationship Id="rId35" Type="http://schemas.openxmlformats.org/officeDocument/2006/relationships/drawing" Target="../drawings/drawing1.xml"/><Relationship Id="rId12" Type="http://schemas.openxmlformats.org/officeDocument/2006/relationships/hyperlink" Target="https://www.artsobservasjoner.no/Share/ViewSightingAsMap/7016775/0B639789SightingAsMap/2208278/0C1C34F4" TargetMode="External"/><Relationship Id="rId34" Type="http://schemas.openxmlformats.org/officeDocument/2006/relationships/hyperlink" Target="https://www.artsobservasjoner.no/Share/ViewSightingAsTable/4220606/E2C5DD8E" TargetMode="External"/><Relationship Id="rId15" Type="http://schemas.openxmlformats.org/officeDocument/2006/relationships/hyperlink" Target="https://www.artsobservasjoner.no/Share/ViewSightingAsMap/5605158/D3166026" TargetMode="External"/><Relationship Id="rId14" Type="http://schemas.openxmlformats.org/officeDocument/2006/relationships/hyperlink" Target="https://www.artsobservasjoner.no/Share/ViewSightingAsMap/5605158/D3166026" TargetMode="External"/><Relationship Id="rId17" Type="http://schemas.openxmlformats.org/officeDocument/2006/relationships/hyperlink" Target="https://www.artsobservasjoner.no/Share/ViewSightingAsMap/3665134/D341E2C2" TargetMode="External"/><Relationship Id="rId16" Type="http://schemas.openxmlformats.org/officeDocument/2006/relationships/hyperlink" Target="https://www.artsobservasjoner.no/Share/ViewSightingAsMap/3665134/D341E2C2" TargetMode="External"/><Relationship Id="rId19" Type="http://schemas.openxmlformats.org/officeDocument/2006/relationships/hyperlink" Target="http://svalbardbirds.weebly.com/gyrfalcon.html" TargetMode="External"/><Relationship Id="rId18" Type="http://schemas.openxmlformats.org/officeDocument/2006/relationships/hyperlink" Target="https://www.artsobservasjoner.no/Share/ViewSightingAsMap/3665134/D341E2C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86"/>
    <col customWidth="1" min="2" max="2" width="22.29"/>
    <col customWidth="1" min="3" max="3" width="24.71"/>
    <col customWidth="1" min="4" max="4" width="16.86"/>
    <col customWidth="1" min="5" max="5" width="97.14"/>
    <col customWidth="1" min="6" max="6" width="11.43"/>
    <col customWidth="1" min="7" max="26" width="8.71"/>
  </cols>
  <sheetData>
    <row r="1" ht="21.0" customHeight="1">
      <c r="A1" s="1" t="s">
        <v>0</v>
      </c>
      <c r="B1" s="2"/>
      <c r="C1" s="2"/>
      <c r="D1" s="2"/>
      <c r="E1" s="3"/>
    </row>
    <row r="2" ht="49.5" customHeight="1">
      <c r="A2" s="4"/>
      <c r="B2" s="4"/>
      <c r="C2" s="5" t="s">
        <v>1</v>
      </c>
      <c r="D2" s="4"/>
      <c r="E2" s="6" t="s">
        <v>2</v>
      </c>
    </row>
    <row r="3">
      <c r="A3" s="7"/>
      <c r="B3" s="8" t="s">
        <v>3</v>
      </c>
      <c r="C3" s="2"/>
      <c r="D3" s="2"/>
      <c r="E3" s="3"/>
    </row>
    <row r="4">
      <c r="A4" s="9">
        <v>1.0</v>
      </c>
      <c r="B4" s="10" t="str">
        <f>HYPERLINK("http://svalbardbirds.weebly.com/brent-goose.html","Brent Goose")</f>
        <v>Brent Goose</v>
      </c>
      <c r="C4" s="11" t="str">
        <f>HYPERLINK("http://svalbardbirds.weebly.com/brent-goose.html","Branta bernicla")</f>
        <v>Branta bernicla</v>
      </c>
      <c r="D4" s="10" t="str">
        <f>HYPERLINK("http://svalbardbirds.weebly.com/brent-goose.html","Ringgås ")</f>
        <v>Ringgås </v>
      </c>
      <c r="E4" s="12" t="s">
        <v>4</v>
      </c>
    </row>
    <row r="5">
      <c r="A5" s="13"/>
      <c r="B5" s="14"/>
      <c r="C5" s="11" t="str">
        <f>HYPERLINK("https://www.artsobservasjoner.no/Share/ViewSightingAsMap/2208779/FBF6122E","Branta bernicla bernicla")</f>
        <v>Branta bernicla bernicla</v>
      </c>
      <c r="D5" s="10" t="str">
        <f>HYPERLINK("https://www.artsobservasjoner.no/Share/ViewSightingAsMap/2208779/FBF6122E","Ringgås (mørkbuket)")</f>
        <v>Ringgås (mørkbuket)</v>
      </c>
      <c r="E5" s="15" t="s">
        <v>5</v>
      </c>
    </row>
    <row r="6">
      <c r="A6" s="13"/>
      <c r="B6" s="10"/>
      <c r="C6" s="11" t="str">
        <f>HYPERLINK("http://svalbardbirds.weebly.com/brent-goose.html","Branta bernicla hrota")</f>
        <v>Branta bernicla hrota</v>
      </c>
      <c r="D6" s="10" t="str">
        <f>HYPERLINK("http://svalbardbirds.weebly.com/ringgarings.html","Ringgås (lysbuket)")</f>
        <v>Ringgås (lysbuket)</v>
      </c>
      <c r="E6" s="12" t="s">
        <v>4</v>
      </c>
    </row>
    <row r="7">
      <c r="A7" s="13"/>
      <c r="B7" s="10"/>
      <c r="C7" s="11" t="str">
        <f>HYPERLINK("https://www.artsobservasjoner.no/Share/ViewSightingAsMap/2208781/49224B35","Branta bernicla nigricans")</f>
        <v>Branta bernicla nigricans</v>
      </c>
      <c r="D7" s="10" t="str">
        <f>HYPERLINK("https://www.artsobservasjoner.no/Share/ViewSightingAsMap/2208781/49224B35","Ringgås ")</f>
        <v>Ringgås </v>
      </c>
      <c r="E7" s="12" t="s">
        <v>6</v>
      </c>
    </row>
    <row r="8">
      <c r="A8" s="9">
        <v>2.0</v>
      </c>
      <c r="B8" s="10" t="str">
        <f>HYPERLINK("https://www.artsobservasjoner.no/Share/ViewSightingAsMap/2208205/A668B921","Red-breasted Goose")</f>
        <v>Red-breasted Goose</v>
      </c>
      <c r="C8" s="11" t="str">
        <f>HYPERLINK("https://www.artsobservasjoner.no/Share/ViewSightingAsMap/2208205/A668B921","Branta ruficollis")</f>
        <v>Branta ruficollis</v>
      </c>
      <c r="D8" s="10" t="str">
        <f>HYPERLINK("https://www.artsobservasjoner.no/Share/ViewSightingAsMap/2208205/A668B921","Rødhalsgås")</f>
        <v>Rødhalsgås</v>
      </c>
      <c r="E8" s="12" t="s">
        <v>6</v>
      </c>
    </row>
    <row r="9">
      <c r="A9" s="9">
        <v>3.0</v>
      </c>
      <c r="B9" s="10" t="str">
        <f>HYPERLINK("http://svalbardbirds.weebly.com/canada-goose.html","Canada Goose")</f>
        <v>Canada Goose</v>
      </c>
      <c r="C9" s="16" t="s">
        <v>7</v>
      </c>
      <c r="D9" s="10" t="str">
        <f>HYPERLINK("http://svalbardbirds.weebly.com/kanadagarings.html","Kanadagås")</f>
        <v>Kanadagås</v>
      </c>
      <c r="E9" s="12" t="s">
        <v>8</v>
      </c>
    </row>
    <row r="10">
      <c r="A10" s="13"/>
      <c r="B10" s="12"/>
      <c r="C10" s="16" t="s">
        <v>9</v>
      </c>
      <c r="D10" s="12"/>
      <c r="E10" s="12" t="s">
        <v>8</v>
      </c>
    </row>
    <row r="11">
      <c r="A11" s="9">
        <v>4.0</v>
      </c>
      <c r="B11" s="10" t="str">
        <f>HYPERLINK("http://svalbardbirds.weebly.com/cackling-goose.html","Cackling  Goose")</f>
        <v>Cackling  Goose</v>
      </c>
      <c r="C11" s="11" t="str">
        <f>HYPERLINK("http://svalbardbirds.weebly.com/cackling-goose.html","Branta hutchinsii")</f>
        <v>Branta hutchinsii</v>
      </c>
      <c r="D11" s="10" t="str">
        <f>HYPERLINK("http://svalbardbirds.weebly.com/polargarings.html","Polargås")</f>
        <v>Polargås</v>
      </c>
      <c r="E11" s="12" t="s">
        <v>8</v>
      </c>
    </row>
    <row r="12">
      <c r="A12" s="9">
        <v>5.0</v>
      </c>
      <c r="B12" s="10" t="str">
        <f>HYPERLINK("http://svalbardbirds.weebly.com/barnacle-goose.html","Barnacle Goose")</f>
        <v>Barnacle Goose</v>
      </c>
      <c r="C12" s="11" t="str">
        <f>HYPERLINK("http://svalbardbirds.weebly.com/barnacle-goose.html","Branta leucopsis")</f>
        <v>Branta leucopsis</v>
      </c>
      <c r="D12" s="10" t="str">
        <f>HYPERLINK("http://svalbardbirds.weebly.com/hvitkinngarings.html","Hvitkinngås")</f>
        <v>Hvitkinngås</v>
      </c>
      <c r="E12" s="12" t="s">
        <v>10</v>
      </c>
    </row>
    <row r="13">
      <c r="A13" s="9">
        <v>6.0</v>
      </c>
      <c r="B13" s="10" t="str">
        <f>HYPERLINK("https://www.artsobservasjoner.no/Share/ViewSightingAsMap/2208185/A6884B48","Bar-headed Goose")</f>
        <v>Bar-headed Goose</v>
      </c>
      <c r="C13" s="11" t="str">
        <f>HYPERLINK("https://www.artsobservasjoner.no/Share/ViewSightingAsMap/2208185/A6884B48","Anser indicus")</f>
        <v>Anser indicus</v>
      </c>
      <c r="D13" s="10" t="str">
        <f>HYPERLINK("https://www.artsobservasjoner.no/Share/ViewSightingAsMap/2208185/A6884B48","Stripegås")</f>
        <v>Stripegås</v>
      </c>
      <c r="E13" s="12" t="s">
        <v>8</v>
      </c>
    </row>
    <row r="14">
      <c r="A14" s="9">
        <v>7.0</v>
      </c>
      <c r="B14" s="10" t="str">
        <f>HYPERLINK("http://svalbardbirds.weebly.com/snow-goose.html","Snow Goose")</f>
        <v>Snow Goose</v>
      </c>
      <c r="C14" s="11" t="str">
        <f>HYPERLINK("http://svalbardbirds.weebly.com/snow-goose.html","Anser caerulescens")</f>
        <v>Anser caerulescens</v>
      </c>
      <c r="D14" s="10" t="str">
        <f>HYPERLINK("http://svalbardbirds.weebly.com/snoslashgarings.html","Snøgås")</f>
        <v>Snøgås</v>
      </c>
      <c r="E14" s="12" t="s">
        <v>11</v>
      </c>
    </row>
    <row r="15">
      <c r="A15" s="9">
        <v>8.0</v>
      </c>
      <c r="B15" s="10" t="str">
        <f>HYPERLINK("http://svalbardbirds.weebly.com/greylag-goose.html","Greylag Goose")</f>
        <v>Greylag Goose</v>
      </c>
      <c r="C15" s="11" t="str">
        <f>HYPERLINK("http://svalbardbirds.weebly.com/greylag-goose.html","Anser anser")</f>
        <v>Anser anser</v>
      </c>
      <c r="D15" s="10" t="str">
        <f>HYPERLINK("http://svalbardbirds.weebly.com/graringgarings.html","Grågås")</f>
        <v>Grågås</v>
      </c>
      <c r="E15" s="12" t="s">
        <v>12</v>
      </c>
    </row>
    <row r="16">
      <c r="A16" s="9">
        <v>9.0</v>
      </c>
      <c r="B16" s="10" t="str">
        <f>HYPERLINK("http://svalbardbirds.weebly.com/bean-goose.html","Taiga Bean Goose")</f>
        <v>Taiga Bean Goose</v>
      </c>
      <c r="C16" s="11" t="str">
        <f>HYPERLINK("http://svalbardbirds.weebly.com/bean-goose.html","Anser fabalis ")</f>
        <v>Anser fabalis </v>
      </c>
      <c r="D16" s="10" t="str">
        <f>HYPERLINK("http://svalbardbirds.weebly.com/saeligdgarings.html","Taigasædgås")</f>
        <v>Taigasædgås</v>
      </c>
      <c r="E16" s="12" t="s">
        <v>8</v>
      </c>
    </row>
    <row r="17">
      <c r="A17" s="17"/>
      <c r="B17" s="12"/>
      <c r="C17" s="11" t="str">
        <f>HYPERLINK("http://svalbardbirds.weebly.com/bean-goose.html","Anser fabalis fabialis")</f>
        <v>Anser fabalis fabialis</v>
      </c>
      <c r="D17" s="12"/>
      <c r="E17" s="12" t="s">
        <v>8</v>
      </c>
    </row>
    <row r="18">
      <c r="A18" s="9">
        <v>10.0</v>
      </c>
      <c r="B18" s="10" t="str">
        <f>HYPERLINK("http://svalbardbirds.weebly.com/pink-footed-goose.html","Pink-footed Goose")</f>
        <v>Pink-footed Goose</v>
      </c>
      <c r="C18" s="11" t="str">
        <f>HYPERLINK("http://svalbardbirds.weebly.com/pink-footed-goose.html","Anser brachyrhynchus")</f>
        <v>Anser brachyrhynchus</v>
      </c>
      <c r="D18" s="10" t="str">
        <f>HYPERLINK("http://svalbardbirds.weebly.com/kortnebbgarings.html","Kortnebbgås")</f>
        <v>Kortnebbgås</v>
      </c>
      <c r="E18" s="12" t="s">
        <v>10</v>
      </c>
    </row>
    <row r="19">
      <c r="A19" s="9">
        <v>11.0</v>
      </c>
      <c r="B19" s="10" t="str">
        <f>HYPERLINK("http://svalbardbirds.weebly.com/bean-goose.html","Tundra Bean Goose")</f>
        <v>Tundra Bean Goose</v>
      </c>
      <c r="C19" s="11" t="str">
        <f>HYPERLINK("http://svalbardbirds.weebly.com/bean-goose.html","Anser serrirostris ")</f>
        <v>Anser serrirostris </v>
      </c>
      <c r="D19" s="10" t="str">
        <f>HYPERLINK("http://svalbardbirds.weebly.com/saeligdgarings.html","Tundrasædgås")</f>
        <v>Tundrasædgås</v>
      </c>
      <c r="E19" s="15" t="s">
        <v>6</v>
      </c>
    </row>
    <row r="20">
      <c r="A20" s="17"/>
      <c r="B20" s="12"/>
      <c r="C20" s="11" t="str">
        <f>HYPERLINK("http://svalbardbirds.weebly.com/bean-goose.html","Anser serrirostris rossicus")</f>
        <v>Anser serrirostris rossicus</v>
      </c>
      <c r="D20" s="12"/>
      <c r="E20" s="15" t="s">
        <v>6</v>
      </c>
    </row>
    <row r="21">
      <c r="A21" s="9">
        <v>12.0</v>
      </c>
      <c r="B21" s="10" t="str">
        <f>HYPERLINK("http://svalbardbirds.weebly.com/greater-white-fronted-goose.html","Greater White-fronted Goose")</f>
        <v>Greater White-fronted Goose</v>
      </c>
      <c r="C21" s="11" t="str">
        <f>HYPERLINK("http://svalbardbirds.weebly.com/greater-white-fronted-goose.html","Anser albifrons")</f>
        <v>Anser albifrons</v>
      </c>
      <c r="D21" s="10" t="str">
        <f>HYPERLINK("http://svalbardbirds.weebly.com/tundragarings.html","Tundragås")</f>
        <v>Tundragås</v>
      </c>
      <c r="E21" s="12" t="s">
        <v>11</v>
      </c>
    </row>
    <row r="22">
      <c r="A22" s="13"/>
      <c r="B22" s="10"/>
      <c r="C22" s="11" t="str">
        <f>HYPERLINK("http://svalbardbirds.weebly.com/greater-white-fronted-goose.html","Anser albifrons flavirostris")</f>
        <v>Anser albifrons flavirostris</v>
      </c>
      <c r="D22" s="10"/>
      <c r="E22" s="12"/>
    </row>
    <row r="23">
      <c r="A23" s="13"/>
      <c r="B23" s="10"/>
      <c r="C23" s="11" t="str">
        <f>HYPERLINK("http://svalbardbirds.weebly.com/greater-white-fronted-goose.html","Anser albifrons albifrons")</f>
        <v>Anser albifrons albifrons</v>
      </c>
      <c r="D23" s="10"/>
      <c r="E23" s="12"/>
    </row>
    <row r="24" ht="15.75" customHeight="1">
      <c r="A24" s="9">
        <v>13.0</v>
      </c>
      <c r="B24" s="10" t="str">
        <f>HYPERLINK("https://www.artsobservasjoner.no/Share/ViewSightingAsMap/2207909/E09CEAF6","Mute Swan")</f>
        <v>Mute Swan</v>
      </c>
      <c r="C24" s="11" t="str">
        <f>HYPERLINK("https://www.artsobservasjoner.no/Share/ViewSightingAsMap/2207909/E09CEAF6","Cygnus olor")</f>
        <v>Cygnus olor</v>
      </c>
      <c r="D24" s="10" t="str">
        <f>HYPERLINK("https://www.artsobservasjoner.no/Share/ViewSightingAsMap/2207909/E09CEAF6","Knoppsvane")</f>
        <v>Knoppsvane</v>
      </c>
      <c r="E24" s="12" t="s">
        <v>6</v>
      </c>
    </row>
    <row r="25" ht="15.75" customHeight="1">
      <c r="A25" s="9">
        <v>14.0</v>
      </c>
      <c r="B25" s="10" t="str">
        <f>HYPERLINK("https://www.artsobservasjoner.no/Share/ViewSightingAsMap/2208150/D7877994","Tundra Swan")</f>
        <v>Tundra Swan</v>
      </c>
      <c r="C25" s="11" t="str">
        <f>HYPERLINK("https://www.artsobservasjoner.no/Share/ViewSightingAsMap/2208150/D7877994","Cygnus columbianus")</f>
        <v>Cygnus columbianus</v>
      </c>
      <c r="D25" s="10" t="str">
        <f>HYPERLINK("https://www.artsobservasjoner.no/Share/ViewSightingAsMap/2208150/D7877994","Dvergsvane")</f>
        <v>Dvergsvane</v>
      </c>
      <c r="E25" s="12" t="s">
        <v>8</v>
      </c>
    </row>
    <row r="26" ht="15.75" customHeight="1">
      <c r="A26" s="9">
        <v>15.0</v>
      </c>
      <c r="B26" s="10" t="str">
        <f>HYPERLINK("http://svalbardbirds.weebly.com/whooper-swan.html","Whopper Swan")</f>
        <v>Whopper Swan</v>
      </c>
      <c r="C26" s="11" t="str">
        <f>HYPERLINK("http://svalbardbirds.weebly.com/whooper-swan.html","Cygnus cygnus")</f>
        <v>Cygnus cygnus</v>
      </c>
      <c r="D26" s="10" t="str">
        <f>HYPERLINK("http://svalbardbirds.weebly.com/sangsvane.html","Sangsvane")</f>
        <v>Sangsvane</v>
      </c>
      <c r="E26" s="15" t="s">
        <v>13</v>
      </c>
    </row>
    <row r="27" ht="15.75" customHeight="1">
      <c r="A27" s="18">
        <v>16.0</v>
      </c>
      <c r="B27" s="10" t="str">
        <f>HYPERLINK("https://www.artsobservasjoner.no/Share/ViewSightingAsMap/2208221/DB0B5CFC","Common Shelduck")</f>
        <v>Common Shelduck</v>
      </c>
      <c r="C27" s="11" t="str">
        <f>HYPERLINK("https://www.artsobservasjoner.no/Share/ViewSightingAsMap/2208221/DB0B5CFC","Tadorna tadorna")</f>
        <v>Tadorna tadorna</v>
      </c>
      <c r="D27" s="10" t="str">
        <f>HYPERLINK("https://www.artsobservasjoner.no/Share/ViewSightingAsMap/2208221/DB0B5CFC","Gravand")</f>
        <v>Gravand</v>
      </c>
      <c r="E27" s="12" t="s">
        <v>8</v>
      </c>
    </row>
    <row r="28" ht="15.75" customHeight="1">
      <c r="A28" s="18">
        <v>17.0</v>
      </c>
      <c r="B28" s="10" t="str">
        <f>HYPERLINK("https://www.artsobservasjoner.no/Share/ViewSightingAsMap/2208213/24042FAE","Ruddy Shelduck")</f>
        <v>Ruddy Shelduck</v>
      </c>
      <c r="C28" s="11" t="str">
        <f>HYPERLINK("https://www.artsobservasjoner.no/Share/ViewSightingAsMap/2208213/24042FAE","Tadorna ferruginea")</f>
        <v>Tadorna ferruginea</v>
      </c>
      <c r="D28" s="10" t="str">
        <f>HYPERLINK("https://www.artsobservasjoner.no/Share/ViewSightingAsMap/2208213/24042FAE","Rustand")</f>
        <v>Rustand</v>
      </c>
      <c r="E28" s="12" t="s">
        <v>6</v>
      </c>
    </row>
    <row r="29" ht="15.75" customHeight="1">
      <c r="A29" s="18">
        <v>18.0</v>
      </c>
      <c r="B29" s="10" t="str">
        <f>HYPERLINK("https://www.artsobservasjoner.no/Share/ViewSightingAsMap/2208223/73D59285","Mandarin Duck")</f>
        <v>Mandarin Duck</v>
      </c>
      <c r="C29" s="11" t="str">
        <f>HYPERLINK("https://www.artsobservasjoner.no/Share/ViewSightingAsMap/2208223/73D59285","Aix galericulata")</f>
        <v>Aix galericulata</v>
      </c>
      <c r="D29" s="10" t="str">
        <f>HYPERLINK("https://www.artsobservasjoner.no/Share/ViewSightingAsMap/2208223/73D59285","Mandarinand")</f>
        <v>Mandarinand</v>
      </c>
      <c r="E29" s="12" t="s">
        <v>6</v>
      </c>
    </row>
    <row r="30" ht="15.75" customHeight="1">
      <c r="A30" s="18">
        <v>19.0</v>
      </c>
      <c r="B30" s="10" t="str">
        <f>HYPERLINK("https://www.artsobservasjoner.no/Share/ViewSightingAsMap/2208231/7D604435","Baikal Teal")</f>
        <v>Baikal Teal</v>
      </c>
      <c r="C30" s="11" t="str">
        <f>HYPERLINK("https://www.artsobservasjoner.no/Share/ViewSightingAsMap/2208231/7D604435","Sibirionetta formosa")</f>
        <v>Sibirionetta formosa</v>
      </c>
      <c r="D30" s="10" t="str">
        <f>HYPERLINK("https://www.artsobservasjoner.no/Share/ViewSightingAsMap/2208231/7D604435","Gulkinnand")</f>
        <v>Gulkinnand</v>
      </c>
      <c r="E30" s="12" t="s">
        <v>6</v>
      </c>
    </row>
    <row r="31" ht="15.75" customHeight="1">
      <c r="A31" s="18">
        <v>20.0</v>
      </c>
      <c r="B31" s="10" t="str">
        <f>HYPERLINK("https://www.artsobservasjoner.no/Share/ViewSightingAsMap/2208237/BC0A8BDD","Garganey")</f>
        <v>Garganey</v>
      </c>
      <c r="C31" s="11" t="str">
        <f>HYPERLINK("https://www.artsobservasjoner.no/Share/ViewSightingAsMap/2208237/BC0A8BDD","Spatula querquedula")</f>
        <v>Spatula querquedula</v>
      </c>
      <c r="D31" s="10" t="str">
        <f>HYPERLINK("https://www.artsobservasjoner.no/Share/ViewSightingAsMap/2208237/BC0A8BDD","Knekkand")</f>
        <v>Knekkand</v>
      </c>
      <c r="E31" s="12" t="s">
        <v>6</v>
      </c>
    </row>
    <row r="32" ht="15.75" customHeight="1">
      <c r="A32" s="18">
        <v>21.0</v>
      </c>
      <c r="B32" s="10" t="str">
        <f>HYPERLINK("https://www.artsobservasjoner.no/Share/ViewSightingAsMap/2208238/3CDCC490","Blue-winged Teal")</f>
        <v>Blue-winged Teal</v>
      </c>
      <c r="C32" s="11" t="str">
        <f>HYPERLINK("https://www.artsobservasjoner.no/Share/ViewSightingAsMap/2208238/3CDCC490","Spatula discors")</f>
        <v>Spatula discors</v>
      </c>
      <c r="D32" s="10" t="str">
        <f>HYPERLINK("https://www.artsobservasjoner.no/Share/ViewSightingAsMap/2208238/3CDCC490","Blåvingeand")</f>
        <v>Blåvingeand</v>
      </c>
      <c r="E32" s="12" t="s">
        <v>6</v>
      </c>
    </row>
    <row r="33" ht="15.75" customHeight="1">
      <c r="A33" s="18">
        <v>22.0</v>
      </c>
      <c r="B33" s="10" t="str">
        <f>HYPERLINK("https://www.artsobservasjoner.no/Share/ViewSightingAsMap/2208239/B0E5DF46","Northern Shoveler")</f>
        <v>Northern Shoveler</v>
      </c>
      <c r="C33" s="11" t="str">
        <f>HYPERLINK("https://www.artsobservasjoner.no/Share/ViewSightingAsMap/2208239/B0E5DF46","Spatula clypeata")</f>
        <v>Spatula clypeata</v>
      </c>
      <c r="D33" s="10" t="str">
        <f>HYPERLINK("https://www.artsobservasjoner.no/Share/ViewSightingAsMap/2208239/B0E5DF46","Skjeand")</f>
        <v>Skjeand</v>
      </c>
      <c r="E33" s="12" t="s">
        <v>8</v>
      </c>
    </row>
    <row r="34" ht="15.75" customHeight="1">
      <c r="A34" s="18">
        <v>23.0</v>
      </c>
      <c r="B34" s="10" t="str">
        <f>HYPERLINK("https://www.artsobservasjoner.no/Share/ViewSightingAsMap/2208228/AA037661","Gadwall")</f>
        <v>Gadwall</v>
      </c>
      <c r="C34" s="11" t="str">
        <f>HYPERLINK("https://www.artsobservasjoner.no/Share/ViewSightingAsMap/2208228/AA037661","Mareca strepera")</f>
        <v>Mareca strepera</v>
      </c>
      <c r="D34" s="10" t="str">
        <f>HYPERLINK("https://www.artsobservasjoner.no/Share/ViewSightingAsMap/2208228/AA037661","Snadderand")</f>
        <v>Snadderand</v>
      </c>
      <c r="E34" s="12" t="s">
        <v>8</v>
      </c>
    </row>
    <row r="35" ht="15.75" customHeight="1">
      <c r="A35" s="9">
        <v>24.0</v>
      </c>
      <c r="B35" s="10" t="str">
        <f>HYPERLINK("http://svalbardbirds.weebly.com/eurasian-wigeon.html","Eurasian Wigeon")</f>
        <v>Eurasian Wigeon</v>
      </c>
      <c r="C35" s="11" t="str">
        <f>HYPERLINK("http://svalbardbirds.weebly.com/eurasian-wigeon.html","Mareca penelope")</f>
        <v>Mareca penelope</v>
      </c>
      <c r="D35" s="10" t="str">
        <f>HYPERLINK("http://svalbardbirds.weebly.com/brunnakke.html","Brunnakke")</f>
        <v>Brunnakke</v>
      </c>
      <c r="E35" s="15" t="s">
        <v>14</v>
      </c>
    </row>
    <row r="36" ht="15.75" customHeight="1">
      <c r="A36" s="9">
        <v>25.0</v>
      </c>
      <c r="B36" s="10" t="str">
        <f>HYPERLINK("http://svalbardbirds.weebly.com/mallard.html","Mallard")</f>
        <v>Mallard</v>
      </c>
      <c r="C36" s="11" t="str">
        <f>HYPERLINK("http://svalbardbirds.weebly.com/mallard.html","Anas plathyrhynchos")</f>
        <v>Anas plathyrhynchos</v>
      </c>
      <c r="D36" s="10" t="str">
        <f>HYPERLINK("http://svalbardbirds.weebly.com/stokkand.html","Stokkand")</f>
        <v>Stokkand</v>
      </c>
      <c r="E36" s="12" t="s">
        <v>15</v>
      </c>
    </row>
    <row r="37" ht="15.75" customHeight="1">
      <c r="A37" s="9">
        <v>26.0</v>
      </c>
      <c r="B37" s="10" t="str">
        <f>HYPERLINK("http://svalbardbirds.weebly.com/northern-pintail.html","Northern Pintail")</f>
        <v>Northern Pintail</v>
      </c>
      <c r="C37" s="11" t="str">
        <f>HYPERLINK("http://svalbardbirds.weebly.com/northern-pintail.html","Anas acuta")</f>
        <v>Anas acuta</v>
      </c>
      <c r="D37" s="10" t="str">
        <f>HYPERLINK("http://svalbardbirds.weebly.com/stjertand.html","Stjertand")</f>
        <v>Stjertand</v>
      </c>
      <c r="E37" s="12" t="s">
        <v>16</v>
      </c>
    </row>
    <row r="38" ht="15.75" customHeight="1">
      <c r="A38" s="9">
        <v>27.0</v>
      </c>
      <c r="B38" s="10" t="str">
        <f>HYPERLINK("http://svalbardbirds.weebly.com/common-teal.html","Common Teal")</f>
        <v>Common Teal</v>
      </c>
      <c r="C38" s="11" t="str">
        <f>HYPERLINK("http://svalbardbirds.weebly.com/common-teal.html","Anas crecca")</f>
        <v>Anas crecca</v>
      </c>
      <c r="D38" s="10" t="str">
        <f>HYPERLINK("http://svalbardbirds.weebly.com/krikkand.html","Krikkand")</f>
        <v>Krikkand</v>
      </c>
      <c r="E38" s="12" t="s">
        <v>17</v>
      </c>
    </row>
    <row r="39" ht="15.75" customHeight="1">
      <c r="A39" s="18">
        <v>28.0</v>
      </c>
      <c r="B39" s="10" t="str">
        <f>HYPERLINK("https://www.artsobservasjoner.no/Share/ViewSightingAsMap/2208234/9B03DEC9","Green-winged Teal")</f>
        <v>Green-winged Teal</v>
      </c>
      <c r="C39" s="11" t="str">
        <f>HYPERLINK("https://www.artsobservasjoner.no/Share/ViewSightingAsMap/2208234/9B03DEC9","Anas carolinensis")</f>
        <v>Anas carolinensis</v>
      </c>
      <c r="D39" s="10" t="str">
        <f>HYPERLINK("https://www.artsobservasjoner.no/Share/ViewSightingAsMap/2208234/9B03DEC9","Amerikakrikkand")</f>
        <v>Amerikakrikkand</v>
      </c>
      <c r="E39" s="12" t="s">
        <v>6</v>
      </c>
    </row>
    <row r="40" ht="15.75" customHeight="1">
      <c r="A40" s="18">
        <v>29.0</v>
      </c>
      <c r="B40" s="10" t="str">
        <f>HYPERLINK("https://www.artsobservasjoner.no/Share/ViewSightingAsMap/2208240/B6280EBE","Common Pochard")</f>
        <v>Common Pochard</v>
      </c>
      <c r="C40" s="11" t="str">
        <f>HYPERLINK("https://www.artsobservasjoner.no/Share/ViewSightingAsMap/2208240/B6280EBE","Aythya ferina")</f>
        <v>Aythya ferina</v>
      </c>
      <c r="D40" s="10" t="str">
        <f>HYPERLINK("https://www.artsobservasjoner.no/Share/ViewSightingAsMap/2208240/B6280EBE","Taffeland")</f>
        <v>Taffeland</v>
      </c>
      <c r="E40" s="12" t="s">
        <v>6</v>
      </c>
    </row>
    <row r="41" ht="15.75" customHeight="1">
      <c r="A41" s="18">
        <v>30.0</v>
      </c>
      <c r="B41" s="10" t="str">
        <f>HYPERLINK("https://www.artsobservasjoner.no/Share/ViewSightingAsMap/2208244/C19869F9","Ring-necked Duck")</f>
        <v>Ring-necked Duck</v>
      </c>
      <c r="C41" s="11" t="str">
        <f>HYPERLINK("https://www.artsobservasjoner.no/Share/ViewSightingAsMap/2208244/C19869F9","Aythya collaris")</f>
        <v>Aythya collaris</v>
      </c>
      <c r="D41" s="10" t="str">
        <f>HYPERLINK("https://www.artsobservasjoner.no/Share/ViewSightingAsMap/2208244/C19869F9","Ringand")</f>
        <v>Ringand</v>
      </c>
      <c r="E41" s="12" t="s">
        <v>6</v>
      </c>
    </row>
    <row r="42" ht="15.75" customHeight="1">
      <c r="A42" s="18">
        <v>31.0</v>
      </c>
      <c r="B42" s="10" t="str">
        <f>HYPERLINK("http://svalbardbirds.weebly.com/tufted-duck.html","Tufted Duck")</f>
        <v>Tufted Duck</v>
      </c>
      <c r="C42" s="11" t="str">
        <f>HYPERLINK("http://svalbardbirds.weebly.com/tufted-duck.html","Aythya fuligula")</f>
        <v>Aythya fuligula</v>
      </c>
      <c r="D42" s="10" t="str">
        <f>HYPERLINK("http://svalbardbirds.weebly.com/toppand.html","Toppand")</f>
        <v>Toppand</v>
      </c>
      <c r="E42" s="12" t="s">
        <v>11</v>
      </c>
    </row>
    <row r="43" ht="15.75" customHeight="1">
      <c r="A43" s="18">
        <v>32.0</v>
      </c>
      <c r="B43" s="10" t="str">
        <f>HYPERLINK("https://www.artsobservasjoner.no/Share/ViewSightingAsMap/2208247/5CC1D4C6","Greater Scaup")</f>
        <v>Greater Scaup</v>
      </c>
      <c r="C43" s="11" t="str">
        <f>HYPERLINK("https://www.artsobservasjoner.no/Share/ViewSightingAsMap/2208247/5CC1D4C6","Aythya marila")</f>
        <v>Aythya marila</v>
      </c>
      <c r="D43" s="10" t="str">
        <f>HYPERLINK("https://www.artsobservasjoner.no/Share/ViewSightingAsMap/2208247/5CC1D4C6","Bergand")</f>
        <v>Bergand</v>
      </c>
      <c r="E43" s="12" t="s">
        <v>8</v>
      </c>
    </row>
    <row r="44" ht="15.75" customHeight="1">
      <c r="A44" s="18">
        <v>33.0</v>
      </c>
      <c r="B44" s="10" t="str">
        <f>HYPERLINK("http://svalbardbirds.weebly.com/stellers-eider.html","Steller's Eider")</f>
        <v>Steller's Eider</v>
      </c>
      <c r="C44" s="11" t="str">
        <f>HYPERLINK("http://svalbardbirds.weebly.com/stellers-eider.html","Polysticta stelleri")</f>
        <v>Polysticta stelleri</v>
      </c>
      <c r="D44" s="10" t="str">
        <f>HYPERLINK("http://svalbardbirds.weebly.com/stellerand.html","Stellerand")</f>
        <v>Stellerand</v>
      </c>
      <c r="E44" s="12" t="s">
        <v>18</v>
      </c>
    </row>
    <row r="45" ht="15.75" customHeight="1">
      <c r="A45" s="18">
        <v>34.0</v>
      </c>
      <c r="B45" s="10" t="str">
        <f>HYPERLINK("https://www.artsobservasjoner.no/Share/ViewSightingAsMap/2208250/EE7441C0","Spectacle Eider")</f>
        <v>Spectacle Eider</v>
      </c>
      <c r="C45" s="11" t="str">
        <f>HYPERLINK("https://www.artsobservasjoner.no/Share/ViewSightingAsMap/2208250/EE7441C0","Somateria fischeri")</f>
        <v>Somateria fischeri</v>
      </c>
      <c r="D45" s="10" t="str">
        <f>HYPERLINK("https://www.artsobservasjoner.no/Share/ViewSightingAsMap/2208250/EE7441C0","Brilleærfugl")</f>
        <v>Brilleærfugl</v>
      </c>
      <c r="E45" s="12" t="s">
        <v>6</v>
      </c>
    </row>
    <row r="46" ht="15.75" customHeight="1">
      <c r="A46" s="18">
        <v>35.0</v>
      </c>
      <c r="B46" s="10" t="str">
        <f>HYPERLINK("http://svalbardbirds.weebly.com/king-eider.html","King Eider")</f>
        <v>King Eider</v>
      </c>
      <c r="C46" s="11" t="str">
        <f>HYPERLINK("http://svalbardbirds.weebly.com/king-eider.html","Somateria spectabilis")</f>
        <v>Somateria spectabilis</v>
      </c>
      <c r="D46" s="10" t="str">
        <f>HYPERLINK("http://svalbardbirds.weebly.com/praktaeligrfugl.html","Praktærfugl")</f>
        <v>Praktærfugl</v>
      </c>
      <c r="E46" s="12" t="s">
        <v>4</v>
      </c>
    </row>
    <row r="47" ht="15.75" customHeight="1">
      <c r="A47" s="18">
        <v>36.0</v>
      </c>
      <c r="B47" s="10" t="str">
        <f>HYPERLINK("http://svalbardbirds.weebly.com/common-eider.html","Common Eider")</f>
        <v>Common Eider</v>
      </c>
      <c r="C47" s="11" t="str">
        <f>HYPERLINK("http://svalbardbirds.weebly.com/common-eider.html","Somateria mollissima")</f>
        <v>Somateria mollissima</v>
      </c>
      <c r="D47" s="10" t="str">
        <f>HYPERLINK("http://svalbardbirds.weebly.com/aeligrfugl.html","Ærfugl")</f>
        <v>Ærfugl</v>
      </c>
      <c r="E47" s="12" t="s">
        <v>10</v>
      </c>
    </row>
    <row r="48" ht="15.75" customHeight="1">
      <c r="A48" s="18">
        <v>37.0</v>
      </c>
      <c r="B48" s="10" t="str">
        <f>HYPERLINK("https://www.artsobservasjoner.no/Share/ViewSightingAsMap/2208253/E0E8E745","Harlequin")</f>
        <v>Harlequin</v>
      </c>
      <c r="C48" s="11" t="str">
        <f>HYPERLINK("https://www.artsobservasjoner.no/Share/ViewSightingAsMap/2208253/E0E8E745","Histrionicus histrionicus")</f>
        <v>Histrionicus histrionicus</v>
      </c>
      <c r="D48" s="10" t="str">
        <f>HYPERLINK("https://www.artsobservasjoner.no/Share/ViewSightingAsMap/2208253/E0E8E745","Harlekinand")</f>
        <v>Harlekinand</v>
      </c>
      <c r="E48" s="12" t="s">
        <v>8</v>
      </c>
    </row>
    <row r="49" ht="15.75" customHeight="1">
      <c r="A49" s="18">
        <v>38.0</v>
      </c>
      <c r="B49" s="10" t="str">
        <f>HYPERLINK("https://www.artsobservasjoner.no/Share/ViewSightingAsMap/2208254/9C7BA1EC","Velvet Scoter")</f>
        <v>Velvet Scoter</v>
      </c>
      <c r="C49" s="11" t="str">
        <f>HYPERLINK("https://www.artsobservasjoner.no/Share/ViewSightingAsMap/2208254/9C7BA1EC","Melanitta fusca")</f>
        <v>Melanitta fusca</v>
      </c>
      <c r="D49" s="10" t="str">
        <f>HYPERLINK("https://www.artsobservasjoner.no/Share/ViewSightingAsMap/2208254/9C7BA1EC","Sjøorre")</f>
        <v>Sjøorre</v>
      </c>
      <c r="E49" s="12" t="s">
        <v>8</v>
      </c>
    </row>
    <row r="50" ht="15.75" customHeight="1">
      <c r="A50" s="18">
        <v>39.0</v>
      </c>
      <c r="B50" s="10" t="s">
        <v>19</v>
      </c>
      <c r="C50" s="11" t="s">
        <v>20</v>
      </c>
      <c r="D50" s="19" t="s">
        <v>21</v>
      </c>
      <c r="E50" s="12" t="s">
        <v>6</v>
      </c>
    </row>
    <row r="51" ht="15.75" customHeight="1">
      <c r="A51" s="18">
        <v>40.0</v>
      </c>
      <c r="B51" s="10" t="str">
        <f>HYPERLINK("http://svalbardbirds.weebly.com/common-scoter.html","Black Scoter")</f>
        <v>Black Scoter</v>
      </c>
      <c r="C51" s="11" t="str">
        <f>HYPERLINK("http://svalbardbirds.weebly.com/common-scoter.html","Melanitta nigra")</f>
        <v>Melanitta nigra</v>
      </c>
      <c r="D51" s="10" t="str">
        <f>HYPERLINK("http://svalbardbirds.weebly.com/svartand.html","Svartand")</f>
        <v>Svartand</v>
      </c>
      <c r="E51" s="12" t="s">
        <v>22</v>
      </c>
    </row>
    <row r="52" ht="15.75" customHeight="1">
      <c r="A52" s="18">
        <v>41.0</v>
      </c>
      <c r="B52" s="10" t="str">
        <f>HYPERLINK("http://svalbardbirds.weebly.com/long-tailed-duck.html","Long-tailed Duck")</f>
        <v>Long-tailed Duck</v>
      </c>
      <c r="C52" s="11" t="str">
        <f>HYPERLINK("http://svalbardbirds.weebly.com/long-tailed-duck.html","Clangula hyemalis")</f>
        <v>Clangula hyemalis</v>
      </c>
      <c r="D52" s="10" t="str">
        <f>HYPERLINK("http://svalbardbirds.weebly.com/havelle.html","Havelle")</f>
        <v>Havelle</v>
      </c>
      <c r="E52" s="12" t="s">
        <v>4</v>
      </c>
    </row>
    <row r="53" ht="15.75" customHeight="1">
      <c r="A53" s="18">
        <v>42.0</v>
      </c>
      <c r="B53" s="10" t="str">
        <f>HYPERLINK("http://svalbardbirds.weebly.com/common-goldeneye.html","Common Goldeneye")</f>
        <v>Common Goldeneye</v>
      </c>
      <c r="C53" s="11" t="str">
        <f>HYPERLINK("http://svalbardbirds.weebly.com/common-goldeneye.html","Bucephala clangula")</f>
        <v>Bucephala clangula</v>
      </c>
      <c r="D53" s="10" t="str">
        <f>HYPERLINK("http://svalbardbirds.weebly.com/kvinand.html","Kvinand")</f>
        <v>Kvinand</v>
      </c>
      <c r="E53" s="12" t="s">
        <v>18</v>
      </c>
    </row>
    <row r="54" ht="15.75" customHeight="1">
      <c r="A54" s="18">
        <v>43.0</v>
      </c>
      <c r="B54" s="10" t="str">
        <f>HYPERLINK("https://www.artsobservasjoner.no/ViewSighting/ViewSightingAsMap?storedSearchCriterias=2227101","Barrow’s Goldeneye")</f>
        <v>Barrow’s Goldeneye</v>
      </c>
      <c r="C54" s="11" t="str">
        <f>HYPERLINK("https://www.artsobservasjoner.no/ViewSighting/ViewSightingAsMap?storedSearchCriterias=2227101","Bucephala islandindica")</f>
        <v>Bucephala islandindica</v>
      </c>
      <c r="D54" s="10" t="str">
        <f>HYPERLINK("https://www.artsobservasjoner.no/ViewSighting/ViewSightingAsMap?storedSearchCriterias=2227101","Islandsand")</f>
        <v>Islandsand</v>
      </c>
      <c r="E54" s="12" t="s">
        <v>6</v>
      </c>
    </row>
    <row r="55" ht="15.75" customHeight="1">
      <c r="A55" s="18">
        <v>44.0</v>
      </c>
      <c r="B55" s="10" t="str">
        <f>HYPERLINK("https://www.artsobservasjoner.no/Share/ViewSightingAsMap/2208257/E9DC5DEB","Smew")</f>
        <v>Smew</v>
      </c>
      <c r="C55" s="11" t="str">
        <f>HYPERLINK("https://www.artsobservasjoner.no/Share/ViewSightingAsMap/2208257/E9DC5DEB","Mergellus albellus")</f>
        <v>Mergellus albellus</v>
      </c>
      <c r="D55" s="10" t="str">
        <f>HYPERLINK("https://www.artsobservasjoner.no/Share/ViewSightingAsMap/2208257/E9DC5DEB","Lappfiskand")</f>
        <v>Lappfiskand</v>
      </c>
      <c r="E55" s="12" t="s">
        <v>6</v>
      </c>
    </row>
    <row r="56" ht="15.75" customHeight="1">
      <c r="A56" s="18">
        <v>45.0</v>
      </c>
      <c r="B56" s="10" t="str">
        <f>HYPERLINK("https://www.artsobservasjoner.no/Share/ViewSightingAsMap/2208259/0868DA7A","Common Merganser")</f>
        <v>Common Merganser</v>
      </c>
      <c r="C56" s="11" t="str">
        <f>HYPERLINK("https://www.artsobservasjoner.no/Share/ViewSightingAsMap/2208259/0868DA7A","Mergus merganser")</f>
        <v>Mergus merganser</v>
      </c>
      <c r="D56" s="10" t="str">
        <f>HYPERLINK("https://www.artsobservasjoner.no/Share/ViewSightingAsMap/2208259/0868DA7A","Laksand")</f>
        <v>Laksand</v>
      </c>
      <c r="E56" s="12" t="s">
        <v>6</v>
      </c>
    </row>
    <row r="57" ht="15.75" customHeight="1">
      <c r="A57" s="18">
        <v>46.0</v>
      </c>
      <c r="B57" s="10" t="str">
        <f>HYPERLINK("http://svalbardbirds.weebly.com/red-breasted-merganser.html","Red-breasted Merganser")</f>
        <v>Red-breasted Merganser</v>
      </c>
      <c r="C57" s="20" t="str">
        <f>HYPERLINK("http://svalbardbirds.weebly.com/red-breasted-merganser.html","Mergus serrator")</f>
        <v>Mergus serrator</v>
      </c>
      <c r="D57" s="10" t="str">
        <f>HYPERLINK("http://svalbardbirds.weebly.com/siland.html","Siland")</f>
        <v>Siland</v>
      </c>
      <c r="E57" s="15" t="s">
        <v>23</v>
      </c>
    </row>
    <row r="58" ht="15.75" customHeight="1">
      <c r="A58" s="17"/>
      <c r="B58" s="14"/>
      <c r="C58" s="21"/>
      <c r="D58" s="14"/>
      <c r="E58" s="14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ht="15.75" customHeight="1">
      <c r="A59" s="17"/>
      <c r="B59" s="23" t="s">
        <v>24</v>
      </c>
      <c r="C59" s="24"/>
      <c r="D59" s="24"/>
      <c r="E59" s="25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ht="15.75" customHeight="1">
      <c r="A60" s="9">
        <v>47.0</v>
      </c>
      <c r="B60" s="10" t="str">
        <f>HYPERLINK("http://svalbardbirds.weebly.com/svalbard-rock-ptarmigan.html","Rock Ptarmigan")</f>
        <v>Rock Ptarmigan</v>
      </c>
      <c r="C60" s="11" t="str">
        <f>HYPERLINK("http://svalbardbirds.weebly.com/svalbard-rock-ptarmigan.html","Lagopus muta hyperboreus")</f>
        <v>Lagopus muta hyperboreus</v>
      </c>
      <c r="D60" s="10" t="str">
        <f>HYPERLINK("http://svalbardbirds.weebly.com/svalbardrype.html","Svalbardrype")</f>
        <v>Svalbardrype</v>
      </c>
      <c r="E60" s="12" t="s">
        <v>4</v>
      </c>
    </row>
    <row r="61" ht="15.75" customHeight="1">
      <c r="A61" s="17"/>
      <c r="B61" s="12"/>
      <c r="C61" s="14"/>
      <c r="D61" s="12"/>
      <c r="E61" s="12"/>
    </row>
    <row r="62" ht="15.75" customHeight="1">
      <c r="A62" s="17"/>
      <c r="B62" s="23" t="s">
        <v>25</v>
      </c>
      <c r="C62" s="24"/>
      <c r="D62" s="24"/>
      <c r="E62" s="25"/>
    </row>
    <row r="63" ht="15.75" customHeight="1">
      <c r="A63" s="9">
        <v>48.0</v>
      </c>
      <c r="B63" s="10" t="str">
        <f>HYPERLINK("https://www.artsobservasjoner.no/Share/ViewSightingAsMap/2208398/34D12CE8","Common Swift")</f>
        <v>Common Swift</v>
      </c>
      <c r="C63" s="20" t="str">
        <f>HYPERLINK("https://www.artsobservasjoner.no/Share/ViewSightingAsMap/2208398/34D12CE8","Apus apus")</f>
        <v>Apus apus</v>
      </c>
      <c r="D63" s="10" t="str">
        <f>HYPERLINK("https://www.artsobservasjoner.no/Share/ViewSightingAsMap/2208398/34D12CE8","Tårnseiler")</f>
        <v>Tårnseiler</v>
      </c>
      <c r="E63" s="12" t="s">
        <v>8</v>
      </c>
    </row>
    <row r="64" ht="15.75" customHeight="1">
      <c r="A64" s="17"/>
      <c r="B64" s="10"/>
      <c r="C64" s="21"/>
      <c r="D64" s="10"/>
      <c r="E64" s="12"/>
    </row>
    <row r="65" ht="15.75" customHeight="1">
      <c r="A65" s="17"/>
      <c r="B65" s="26" t="s">
        <v>26</v>
      </c>
      <c r="C65" s="12"/>
      <c r="D65" s="14"/>
      <c r="E65" s="12"/>
    </row>
    <row r="66" ht="15.75" customHeight="1">
      <c r="A66" s="9">
        <v>49.0</v>
      </c>
      <c r="B66" s="10" t="str">
        <f>HYPERLINK("https://www.artsobservasjoner.no/Share/ViewSightingAsMap/2208395/BC03B052","Common Cuckoo")</f>
        <v>Common Cuckoo</v>
      </c>
      <c r="C66" s="11" t="str">
        <f>HYPERLINK("https://www.artsobservasjoner.no/Share/ViewSightingAsMap/2208395/BC03B052","Cuculus canorus")</f>
        <v>Cuculus canorus</v>
      </c>
      <c r="D66" s="10" t="str">
        <f>HYPERLINK("https://www.artsobservasjoner.no/Share/ViewSightingAsMap/2208395/BC03B052","Gjøk")</f>
        <v>Gjøk</v>
      </c>
      <c r="E66" s="12" t="s">
        <v>6</v>
      </c>
    </row>
    <row r="67" ht="15.75" customHeight="1">
      <c r="A67" s="17"/>
      <c r="B67" s="10"/>
      <c r="C67" s="21"/>
      <c r="D67" s="10"/>
      <c r="E67" s="12"/>
    </row>
    <row r="68" ht="15.75" customHeight="1">
      <c r="A68" s="17"/>
      <c r="B68" s="27" t="s">
        <v>27</v>
      </c>
      <c r="C68" s="24"/>
      <c r="D68" s="24"/>
      <c r="E68" s="25"/>
    </row>
    <row r="69" ht="15.75" customHeight="1">
      <c r="A69" s="9">
        <v>50.0</v>
      </c>
      <c r="B69" s="10" t="str">
        <f>HYPERLINK("https://www.artsobservasjoner.no/Share/ViewSightingAsMap/2208389/FBBE8534","Feral Pigeon")</f>
        <v>Feral Pigeon</v>
      </c>
      <c r="C69" s="20" t="str">
        <f>HYPERLINK("https://www.artsobservasjoner.no/Share/ViewSightingAsMap/2208389/FBBE8534","Columba livia var. domestica")</f>
        <v>Columba livia var. domestica</v>
      </c>
      <c r="D69" s="10" t="str">
        <f>HYPERLINK("https://www.artsobservasjoner.no/Share/ViewSightingAsMap/2208389/FBBE8534","Bydue")</f>
        <v>Bydue</v>
      </c>
      <c r="E69" s="12" t="s">
        <v>6</v>
      </c>
    </row>
    <row r="70" ht="15.75" customHeight="1">
      <c r="A70" s="9">
        <v>51.0</v>
      </c>
      <c r="B70" s="10" t="str">
        <f>HYPERLINK("https://www.artsobservasjoner.no/Share/ViewSightingAsMap/2208391/A2F5FB2F","Common Wood Pigeon")</f>
        <v>Common Wood Pigeon</v>
      </c>
      <c r="C70" s="11" t="str">
        <f>HYPERLINK("https://www.artsobservasjoner.no/Share/ViewSightingAsMap/2208391/A2F5FB2F","Columba palumbus")</f>
        <v>Columba palumbus</v>
      </c>
      <c r="D70" s="10" t="str">
        <f>HYPERLINK("https://www.artsobservasjoner.no/Share/ViewSightingAsMap/2208391/A2F5FB2F","Ringdue")</f>
        <v>Ringdue</v>
      </c>
      <c r="E70" s="12" t="s">
        <v>8</v>
      </c>
    </row>
    <row r="71" ht="15.75" customHeight="1">
      <c r="A71" s="9">
        <v>52.0</v>
      </c>
      <c r="B71" s="10" t="str">
        <f>HYPERLINK("https://www.artsobservasjoner.no/Share/ViewSightingAsMap/2208394/E71C4221","European Turtle Dove")</f>
        <v>European Turtle Dove</v>
      </c>
      <c r="C71" s="20" t="str">
        <f>HYPERLINK("https://www.artsobservasjoner.no/Share/ViewSightingAsMap/2208394/E71C4221","Streptopelia turtur")</f>
        <v>Streptopelia turtur</v>
      </c>
      <c r="D71" s="10" t="str">
        <f>HYPERLINK("https://www.artsobservasjoner.no/Share/ViewSightingAsMap/2208394/E71C4221","Turteldue")</f>
        <v>Turteldue</v>
      </c>
      <c r="E71" s="12" t="s">
        <v>6</v>
      </c>
    </row>
    <row r="72" ht="15.75" customHeight="1">
      <c r="A72" s="9">
        <v>53.0</v>
      </c>
      <c r="B72" s="10" t="str">
        <f>HYPERLINK("https://www.artsobservasjoner.no/Share/ViewSightingAsMap/2208393/218BD222","Eurasian Collared Dove")</f>
        <v>Eurasian Collared Dove</v>
      </c>
      <c r="C72" s="11" t="str">
        <f>HYPERLINK("https://www.artsobservasjoner.no/Share/ViewSightingAsMap/2208393/218BD222","Streptopelia decaocto")</f>
        <v>Streptopelia decaocto</v>
      </c>
      <c r="D72" s="10" t="str">
        <f>HYPERLINK("https://www.artsobservasjoner.no/Share/ViewSightingAsMap/2208393/218BD222","Tyrkerdue")</f>
        <v>Tyrkerdue</v>
      </c>
      <c r="E72" s="12" t="s">
        <v>6</v>
      </c>
    </row>
    <row r="73" ht="15.75" customHeight="1">
      <c r="A73" s="17"/>
      <c r="B73" s="14"/>
      <c r="C73" s="14"/>
      <c r="D73" s="14"/>
      <c r="E73" s="14"/>
    </row>
    <row r="74" ht="15.75" customHeight="1">
      <c r="A74" s="17"/>
      <c r="B74" s="23" t="s">
        <v>28</v>
      </c>
      <c r="C74" s="24"/>
      <c r="D74" s="24"/>
      <c r="E74" s="25"/>
    </row>
    <row r="75" ht="15.75" customHeight="1">
      <c r="A75" s="9">
        <v>54.0</v>
      </c>
      <c r="B75" s="10" t="str">
        <f>HYPERLINK("https://www.artsobservasjoner.no/Share/ViewSightingAsMap/2208291/1693904B","Water Rail")</f>
        <v>Water Rail</v>
      </c>
      <c r="C75" s="11" t="str">
        <f>HYPERLINK("https://www.artsobservasjoner.no/Share/ViewSightingAsMap/2208291/1693904B","Rallus aquaticus")</f>
        <v>Rallus aquaticus</v>
      </c>
      <c r="D75" s="10" t="str">
        <f>HYPERLINK("https://www.artsobservasjoner.no/Share/ViewSightingAsMap/2208291/1693904B","Vannrikse")</f>
        <v>Vannrikse</v>
      </c>
      <c r="E75" s="12" t="s">
        <v>6</v>
      </c>
    </row>
    <row r="76" ht="15.75" customHeight="1">
      <c r="A76" s="9">
        <v>55.0</v>
      </c>
      <c r="B76" s="10" t="str">
        <f>HYPERLINK("https://www.artsobservasjoner.no/Share/ViewSightingAsMap/2208292/8993DB59","Corn Crake")</f>
        <v>Corn Crake</v>
      </c>
      <c r="C76" s="20" t="str">
        <f>HYPERLINK("https://www.artsobservasjoner.no/Share/ViewSightingAsMap/2208292/8993DB59","Crex crex")</f>
        <v>Crex crex</v>
      </c>
      <c r="D76" s="10" t="str">
        <f>HYPERLINK("https://www.artsobservasjoner.no/Share/ViewSightingAsMap/2208292/8993DB59","Åkerrikse")</f>
        <v>Åkerrikse</v>
      </c>
      <c r="E76" s="12" t="s">
        <v>6</v>
      </c>
    </row>
    <row r="77" ht="15.75" customHeight="1">
      <c r="A77" s="9">
        <v>56.0</v>
      </c>
      <c r="B77" s="10" t="str">
        <f>HYPERLINK("https://www.artsobservasjoner.no/Share/ViewSightingAsMap/2208293/1E5270C3","Common Moorhen")</f>
        <v>Common Moorhen</v>
      </c>
      <c r="C77" s="11" t="str">
        <f>HYPERLINK("https://www.artsobservasjoner.no/Share/ViewSightingAsMap/2208293/1E5270C3","Gallinula chloropus")</f>
        <v>Gallinula chloropus</v>
      </c>
      <c r="D77" s="10" t="str">
        <f>HYPERLINK("https://www.artsobservasjoner.no/Share/ViewSightingAsMap/2208293/1E5270C3","Sivhøne")</f>
        <v>Sivhøne</v>
      </c>
      <c r="E77" s="12" t="s">
        <v>6</v>
      </c>
    </row>
    <row r="78" ht="15.75" customHeight="1">
      <c r="A78" s="9">
        <v>57.0</v>
      </c>
      <c r="B78" s="10" t="str">
        <f>HYPERLINK("https://www.artsobservasjoner.no/Share/ViewSightingAsMap/2208294/056E0676","Eurasian Coot")</f>
        <v>Eurasian Coot</v>
      </c>
      <c r="C78" s="11" t="str">
        <f>HYPERLINK("https://www.artsobservasjoner.no/Share/ViewSightingAsMap/2208294/056E0676","Fulica atra")</f>
        <v>Fulica atra</v>
      </c>
      <c r="D78" s="10" t="str">
        <f>HYPERLINK("https://www.artsobservasjoner.no/Share/ViewSightingAsMap/2208294/056E0676","Sothøne")</f>
        <v>Sothøne</v>
      </c>
      <c r="E78" s="12" t="s">
        <v>6</v>
      </c>
    </row>
    <row r="79" ht="15.75" customHeight="1">
      <c r="A79" s="9">
        <v>58.0</v>
      </c>
      <c r="B79" s="10" t="str">
        <f>HYPERLINK("https://www.artsobservasjoner.no/Share/ViewSightingAsMap/2208295/68795F9C","Common Crane")</f>
        <v>Common Crane</v>
      </c>
      <c r="C79" s="11" t="str">
        <f>HYPERLINK("https://www.artsobservasjoner.no/Share/ViewSightingAsMap/2208295/68795F9C","Grus grus")</f>
        <v>Grus grus</v>
      </c>
      <c r="D79" s="10" t="str">
        <f>HYPERLINK("https://www.artsobservasjoner.no/Share/ViewSightingAsMap/2208295/68795F9C","Trane")</f>
        <v>Trane</v>
      </c>
      <c r="E79" s="12" t="s">
        <v>8</v>
      </c>
    </row>
    <row r="80" ht="15.75" customHeight="1">
      <c r="A80" s="17"/>
      <c r="B80" s="14"/>
      <c r="C80" s="12"/>
      <c r="D80" s="12"/>
      <c r="E80" s="12"/>
    </row>
    <row r="81" ht="15.75" customHeight="1">
      <c r="A81" s="17"/>
      <c r="B81" s="23" t="s">
        <v>29</v>
      </c>
      <c r="C81" s="24"/>
      <c r="D81" s="24"/>
      <c r="E81" s="25"/>
    </row>
    <row r="82" ht="15.75" customHeight="1">
      <c r="A82" s="9">
        <v>59.0</v>
      </c>
      <c r="B82" s="10" t="str">
        <f>HYPERLINK("https://www.artsobservasjoner.no/Share/ViewSightingAsMap/2208264/A03C774F","Red-necked Grebe")</f>
        <v>Red-necked Grebe</v>
      </c>
      <c r="C82" s="11" t="str">
        <f>HYPERLINK("https://www.artsobservasjoner.no/Share/ViewSightingAsMap/2208264/A03C774F","Podiceps grisegena")</f>
        <v>Podiceps grisegena</v>
      </c>
      <c r="D82" s="10" t="str">
        <f>HYPERLINK("https://www.artsobservasjoner.no/Share/ViewSightingAsMap/2208264/A03C774F","Gråstrupedykker")</f>
        <v>Gråstrupedykker</v>
      </c>
      <c r="E82" s="12" t="s">
        <v>6</v>
      </c>
    </row>
    <row r="83" ht="15.75" customHeight="1">
      <c r="A83" s="9">
        <v>60.0</v>
      </c>
      <c r="B83" s="10" t="str">
        <f>HYPERLINK("https://www.artsobservasjoner.no/Share/ViewSightingAsMap/2208263/E06AB919","Horned Grebe")</f>
        <v>Horned Grebe</v>
      </c>
      <c r="C83" s="20" t="str">
        <f>HYPERLINK("https://www.artsobservasjoner.no/Share/ViewSightingAsMap/2208263/E06AB919","Podiceps auritus")</f>
        <v>Podiceps auritus</v>
      </c>
      <c r="D83" s="10" t="str">
        <f>HYPERLINK("https://www.artsobservasjoner.no/Share/ViewSightingAsMap/2208263/E06AB919","Horndykker")</f>
        <v>Horndykker</v>
      </c>
      <c r="E83" s="12" t="s">
        <v>6</v>
      </c>
    </row>
    <row r="84" ht="15.75" customHeight="1">
      <c r="A84" s="17"/>
      <c r="B84" s="14"/>
      <c r="C84" s="14"/>
      <c r="D84" s="12"/>
      <c r="E84" s="12"/>
    </row>
    <row r="85" ht="15.75" customHeight="1">
      <c r="A85" s="17"/>
      <c r="B85" s="23" t="s">
        <v>30</v>
      </c>
      <c r="C85" s="24"/>
      <c r="D85" s="24"/>
      <c r="E85" s="25"/>
    </row>
    <row r="86" ht="15.75" customHeight="1">
      <c r="A86" s="9">
        <v>61.0</v>
      </c>
      <c r="B86" s="10" t="str">
        <f>HYPERLINK("http://svalbardbirds.weebly.com/eurasian-oystercatcher.html","Eurasian Oystercatcher")</f>
        <v>Eurasian Oystercatcher</v>
      </c>
      <c r="C86" s="11" t="str">
        <f>HYPERLINK("http://svalbardbirds.weebly.com/eurasian-oystercatcher.html","Haematopus ostralegus")</f>
        <v>Haematopus ostralegus</v>
      </c>
      <c r="D86" s="10" t="str">
        <f>HYPERLINK("http://svalbardbirds.weebly.com/tjeld.html","Tjeld")</f>
        <v>Tjeld</v>
      </c>
      <c r="E86" s="12" t="s">
        <v>18</v>
      </c>
    </row>
    <row r="87" ht="15.75" customHeight="1">
      <c r="A87" s="9">
        <v>62.0</v>
      </c>
      <c r="B87" s="10" t="str">
        <f>HYPERLINK("https://www.artsobservasjoner.no/Share/ViewSightingAsMap/2208301/C4C6DE8F","Northern Lapwing")</f>
        <v>Northern Lapwing</v>
      </c>
      <c r="C87" s="11" t="str">
        <f>HYPERLINK("https://www.artsobservasjoner.no/Share/ViewSightingAsMap/2208301/C4C6DE8F","Vanellus vanellus")</f>
        <v>Vanellus vanellus</v>
      </c>
      <c r="D87" s="10" t="str">
        <f>HYPERLINK("https://www.artsobservasjoner.no/Share/ViewSightingAsMap/2208301/C4C6DE8F","Vipe")</f>
        <v>Vipe</v>
      </c>
      <c r="E87" s="12" t="s">
        <v>31</v>
      </c>
    </row>
    <row r="88" ht="15.75" customHeight="1">
      <c r="A88" s="9">
        <v>63.0</v>
      </c>
      <c r="B88" s="10" t="str">
        <f>HYPERLINK("http://svalbardbirds.weebly.com/european-golden-plover.html","European Golden Plover")</f>
        <v>European Golden Plover</v>
      </c>
      <c r="C88" s="11" t="str">
        <f>HYPERLINK("http://svalbardbirds.weebly.com/european-golden-plover.html","Pluvialis apricaria")</f>
        <v>Pluvialis apricaria</v>
      </c>
      <c r="D88" s="10" t="str">
        <f>HYPERLINK("http://svalbardbirds.weebly.com/heilo.html","Heilo")</f>
        <v>Heilo</v>
      </c>
      <c r="E88" s="12" t="s">
        <v>32</v>
      </c>
    </row>
    <row r="89" ht="15.75" customHeight="1">
      <c r="A89" s="9">
        <v>64.0</v>
      </c>
      <c r="B89" s="10" t="str">
        <f>HYPERLINK("https://www.artsobservasjoner.no/Share/ViewSightingAsMap/2208299/DE27E07A","Pacific Golden Plover")</f>
        <v>Pacific Golden Plover</v>
      </c>
      <c r="C89" s="11" t="str">
        <f>HYPERLINK("https://www.artsobservasjoner.no/Share/ViewSightingAsMap/2208299/DE27E07A","Pluvialis fulva")</f>
        <v>Pluvialis fulva</v>
      </c>
      <c r="D89" s="10" t="str">
        <f>HYPERLINK("https://www.artsobservasjoner.no/Share/ViewSightingAsMap/2208299/DE27E07A","Sibirlo")</f>
        <v>Sibirlo</v>
      </c>
      <c r="E89" s="15" t="s">
        <v>33</v>
      </c>
    </row>
    <row r="90" ht="15.75" customHeight="1">
      <c r="A90" s="9">
        <v>65.0</v>
      </c>
      <c r="B90" s="10" t="str">
        <f>HYPERLINK("https://www.artsobservasjoner.no/Share/ViewSightingAsMap/2208298/E23663BC","American Golden Plover")</f>
        <v>American Golden Plover</v>
      </c>
      <c r="C90" s="11" t="str">
        <f>HYPERLINK("https://www.artsobservasjoner.no/Share/ViewSightingAsMap/2208298/E23663BC","Pluvialis dominica")</f>
        <v>Pluvialis dominica</v>
      </c>
      <c r="D90" s="10" t="str">
        <f>HYPERLINK("https://www.artsobservasjoner.no/Share/ViewSightingAsMap/2208298/E23663BC","Kanadalo")</f>
        <v>Kanadalo</v>
      </c>
      <c r="E90" s="12" t="s">
        <v>6</v>
      </c>
    </row>
    <row r="91" ht="15.75" customHeight="1">
      <c r="A91" s="9">
        <v>66.0</v>
      </c>
      <c r="B91" s="10" t="str">
        <f>HYPERLINK("https://www.artsobservasjoner.no/Share/ViewSightingAsMap/2208300/ECED359B","Grey Plover")</f>
        <v>Grey Plover</v>
      </c>
      <c r="C91" s="11" t="str">
        <f>HYPERLINK("https://www.artsobservasjoner.no/Share/ViewSightingAsMap/2208300/ECED359B","Pluvialis squatarola")</f>
        <v>Pluvialis squatarola</v>
      </c>
      <c r="D91" s="10" t="str">
        <f>HYPERLINK("https://www.artsobservasjoner.no/Share/ViewSightingAsMap/2208300/ECED359B","Tundralo")</f>
        <v>Tundralo</v>
      </c>
      <c r="E91" s="12" t="s">
        <v>8</v>
      </c>
    </row>
    <row r="92" ht="15.75" customHeight="1">
      <c r="A92" s="9">
        <v>67.0</v>
      </c>
      <c r="B92" s="10" t="str">
        <f>HYPERLINK("http://svalbardbirds.weebly.com/ringed-plover.html","Common Ringed Plover")</f>
        <v>Common Ringed Plover</v>
      </c>
      <c r="C92" s="11" t="str">
        <f>HYPERLINK("http://svalbardbirds.weebly.com/ringed-plover.html","Charadrius hiaticula")</f>
        <v>Charadrius hiaticula</v>
      </c>
      <c r="D92" s="10" t="str">
        <f>HYPERLINK("http://svalbardbirds.weebly.com/sandlo.html","Sandlo")</f>
        <v>Sandlo</v>
      </c>
      <c r="E92" s="12" t="s">
        <v>34</v>
      </c>
    </row>
    <row r="93" ht="15.75" customHeight="1">
      <c r="A93" s="9">
        <v>68.0</v>
      </c>
      <c r="B93" s="10" t="str">
        <f>HYPERLINK("https://www.artsobservasjoner.no/Share/ViewSightingAsMap/2222262/D20E398E","Eurasian Dotterel")</f>
        <v>Eurasian Dotterel</v>
      </c>
      <c r="C93" s="11" t="str">
        <f>HYPERLINK("https://www.artsobservasjoner.no/Share/ViewSightingAsMap/2222262/D20E398E","Charadrius morinellus")</f>
        <v>Charadrius morinellus</v>
      </c>
      <c r="D93" s="10" t="str">
        <f>HYPERLINK("https://www.artsobservasjoner.no/Share/ViewSightingAsMap/2222262/D20E398E","Boltit")</f>
        <v>Boltit</v>
      </c>
      <c r="E93" s="12" t="s">
        <v>6</v>
      </c>
    </row>
    <row r="94" ht="15.75" customHeight="1">
      <c r="A94" s="9">
        <v>69.0</v>
      </c>
      <c r="B94" s="10" t="str">
        <f>HYPERLINK("http://svalbardbirds.weebly.com/whimbrel.html","Eurasian Whimbrel")</f>
        <v>Eurasian Whimbrel</v>
      </c>
      <c r="C94" s="11" t="str">
        <f>HYPERLINK("http://svalbardbirds.weebly.com/whimbrel.html","Numenius phaeopus")</f>
        <v>Numenius phaeopus</v>
      </c>
      <c r="D94" s="10" t="str">
        <f>HYPERLINK("http://svalbardbirds.weebly.com/smaringspove.html","Småspove")</f>
        <v>Småspove</v>
      </c>
      <c r="E94" s="12" t="s">
        <v>11</v>
      </c>
    </row>
    <row r="95" ht="15.75" customHeight="1">
      <c r="A95" s="9">
        <v>70.0</v>
      </c>
      <c r="B95" s="10" t="str">
        <f>HYPERLINK("https://www.artsobservasjoner.no/Share/ViewSightingAsMap/2208326/42916B63","Eurasian Curlew")</f>
        <v>Eurasian Curlew</v>
      </c>
      <c r="C95" s="11" t="str">
        <f>HYPERLINK("https://www.artsobservasjoner.no/Share/ViewSightingAsMap/2208326/42916B63","Numenius arquata")</f>
        <v>Numenius arquata</v>
      </c>
      <c r="D95" s="10" t="str">
        <f>HYPERLINK("https://www.artsobservasjoner.no/Share/ViewSightingAsMap/2208326/42916B63","Storspove")</f>
        <v>Storspove</v>
      </c>
      <c r="E95" s="12" t="s">
        <v>8</v>
      </c>
    </row>
    <row r="96" ht="15.75" customHeight="1">
      <c r="A96" s="9">
        <v>71.0</v>
      </c>
      <c r="B96" s="10" t="str">
        <f>HYPERLINK("https://www.artsobservasjoner.no/Share/ViewSightingAsMap/2208324/063A73A4","Black-tailed Godwit")</f>
        <v>Black-tailed Godwit</v>
      </c>
      <c r="C96" s="11" t="str">
        <f>HYPERLINK("https://www.artsobservasjoner.no/Share/ViewSightingAsMap/2208324/063A73A4","Limosa limosa islandica")</f>
        <v>Limosa limosa islandica</v>
      </c>
      <c r="D96" s="10" t="str">
        <f>HYPERLINK("https://www.artsobservasjoner.no/Share/ViewSightingAsMap/2208324/063A73A4","Svarthalespove")</f>
        <v>Svarthalespove</v>
      </c>
      <c r="E96" s="12" t="s">
        <v>8</v>
      </c>
    </row>
    <row r="97" ht="15.75" customHeight="1">
      <c r="A97" s="9">
        <v>72.0</v>
      </c>
      <c r="B97" s="10" t="str">
        <f>HYPERLINK("http://svalbardbirds.weebly.com/ruddy-turnstone.html","Ruddy Turnstone")</f>
        <v>Ruddy Turnstone</v>
      </c>
      <c r="C97" s="11" t="str">
        <f>HYPERLINK("http://svalbardbirds.weebly.com/ruddy-turnstone.html","Arenaria interpres")</f>
        <v>Arenaria interpres</v>
      </c>
      <c r="D97" s="10" t="str">
        <f>HYPERLINK("http://svalbardbirds.weebly.com/steinvender.html","Steinvender")</f>
        <v>Steinvender</v>
      </c>
      <c r="E97" s="12" t="s">
        <v>34</v>
      </c>
    </row>
    <row r="98" ht="15.75" customHeight="1">
      <c r="A98" s="9">
        <v>73.0</v>
      </c>
      <c r="B98" s="10" t="str">
        <f>HYPERLINK("http://svalbardbirds.weebly.com/red-knot.html","Red Knot")</f>
        <v>Red Knot</v>
      </c>
      <c r="C98" s="11" t="str">
        <f>HYPERLINK("http://svalbardbirds.weebly.com/red-knot.html","Calidris canutus")</f>
        <v>Calidris canutus</v>
      </c>
      <c r="D98" s="10" t="str">
        <f>HYPERLINK("http://svalbardbirds.weebly.com/polarsnipe.html","Polarsnipe")</f>
        <v>Polarsnipe</v>
      </c>
      <c r="E98" s="12" t="s">
        <v>32</v>
      </c>
    </row>
    <row r="99" ht="15.75" customHeight="1">
      <c r="A99" s="9">
        <v>74.0</v>
      </c>
      <c r="B99" s="10" t="str">
        <f>HYPERLINK("https://www.artsobservasjoner.no/Share/ViewSightingAsMap/2208319/6904528B","Ruff")</f>
        <v>Ruff</v>
      </c>
      <c r="C99" s="11" t="str">
        <f>HYPERLINK("https://www.artsobservasjoner.no/Share/ViewSightingAsMap/2208319/6904528B","Calidris pugnax")</f>
        <v>Calidris pugnax</v>
      </c>
      <c r="D99" s="10" t="str">
        <f>HYPERLINK("https://www.artsobservasjoner.no/Share/ViewSightingAsMap/2208319/6904528B","Brushane")</f>
        <v>Brushane</v>
      </c>
      <c r="E99" s="12" t="s">
        <v>8</v>
      </c>
    </row>
    <row r="100" ht="15.75" customHeight="1">
      <c r="A100" s="9">
        <v>75.0</v>
      </c>
      <c r="B100" s="10" t="str">
        <f>HYPERLINK("https://www.artsobservasjoner.no/Share/ViewSightingAsMap/2208316/4F6956E0","Curlew Sandpiper")</f>
        <v>Curlew Sandpiper</v>
      </c>
      <c r="C100" s="11" t="str">
        <f>HYPERLINK("https://www.artsobservasjoner.no/Share/ViewSightingAsMap/2208316/4F6956E0","Calidris ferruginea")</f>
        <v>Calidris ferruginea</v>
      </c>
      <c r="D100" s="10" t="str">
        <f>HYPERLINK("https://www.artsobservasjoner.no/Share/ViewSightingAsMap/2208316/4F6956E0","Tundrasnipe")</f>
        <v>Tundrasnipe</v>
      </c>
      <c r="E100" s="12" t="s">
        <v>8</v>
      </c>
    </row>
    <row r="101" ht="15.75" customHeight="1">
      <c r="A101" s="9">
        <v>76.0</v>
      </c>
      <c r="B101" s="10" t="str">
        <f>HYPERLINK("https://www.artsobservasjoner.no/Share/ViewSightingAsMap/2208307/A2512319","Temminck's Stint")</f>
        <v>Temminck's Stint</v>
      </c>
      <c r="C101" s="11" t="str">
        <f>HYPERLINK("https://www.artsobservasjoner.no/Share/ViewSightingAsMap/2208307/A2512319","Calidris temminckii")</f>
        <v>Calidris temminckii</v>
      </c>
      <c r="D101" s="10" t="str">
        <f>HYPERLINK("https://www.artsobservasjoner.no/Share/ViewSightingAsMap/2208307/A2512319","Temmincksnipe")</f>
        <v>Temmincksnipe</v>
      </c>
      <c r="E101" s="12" t="s">
        <v>6</v>
      </c>
    </row>
    <row r="102" ht="15.75" customHeight="1">
      <c r="A102" s="9">
        <v>77.0</v>
      </c>
      <c r="B102" s="10" t="str">
        <f>HYPERLINK("http://svalbardbirds.weebly.com/sanderling.html","Sanderling")</f>
        <v>Sanderling</v>
      </c>
      <c r="C102" s="11" t="str">
        <f>HYPERLINK("http://svalbardbirds.weebly.com/sanderling.html","Calidris alba")</f>
        <v>Calidris alba</v>
      </c>
      <c r="D102" s="10" t="str">
        <f>HYPERLINK("http://svalbardbirds.weebly.com/sandloslashper.html","Sandløper")</f>
        <v>Sandløper</v>
      </c>
      <c r="E102" s="12" t="s">
        <v>35</v>
      </c>
    </row>
    <row r="103" ht="15.75" customHeight="1">
      <c r="A103" s="9">
        <v>78.0</v>
      </c>
      <c r="B103" s="10" t="str">
        <f>HYPERLINK("http://svalbardbirds.weebly.com/dunlin.html","Dunlin")</f>
        <v>Dunlin</v>
      </c>
      <c r="C103" s="11" t="str">
        <f>HYPERLINK("http://svalbardbirds.weebly.com/dunlin.html","Calidris alpina")</f>
        <v>Calidris alpina</v>
      </c>
      <c r="D103" s="10" t="str">
        <f>HYPERLINK("http://svalbardbirds.weebly.com/myrsnipe.html","Myrsnipe")</f>
        <v>Myrsnipe</v>
      </c>
      <c r="E103" s="12" t="s">
        <v>34</v>
      </c>
    </row>
    <row r="104" ht="15.75" customHeight="1">
      <c r="A104" s="9">
        <v>79.0</v>
      </c>
      <c r="B104" s="10" t="str">
        <f>HYPERLINK("http://svalbardbirds.weebly.com/purple-sandpiper.html","Purple Sandpiper")</f>
        <v>Purple Sandpiper</v>
      </c>
      <c r="C104" s="11" t="str">
        <f>HYPERLINK("http://svalbardbirds.weebly.com/purple-sandpiper.html","Calidris maritima")</f>
        <v>Calidris maritima</v>
      </c>
      <c r="D104" s="10" t="str">
        <f>HYPERLINK("http://svalbardbirds.weebly.com/fjaeligreplytt.html","Fjæreplytt")</f>
        <v>Fjæreplytt</v>
      </c>
      <c r="E104" s="12" t="s">
        <v>4</v>
      </c>
    </row>
    <row r="105" ht="15.75" customHeight="1">
      <c r="A105" s="9">
        <v>80.0</v>
      </c>
      <c r="B105" s="10" t="str">
        <f>HYPERLINK("https://www.artsobservasjoner.no/Share/ViewSightingAsMap/2208311/AEEF6C87","Baird's Sandpiper")</f>
        <v>Baird's Sandpiper</v>
      </c>
      <c r="C105" s="11" t="str">
        <f>HYPERLINK("https://www.artsobservasjoner.no/Share/ViewSightingAsMap/2208311/AEEF6C87","Calidris bairdii")</f>
        <v>Calidris bairdii</v>
      </c>
      <c r="D105" s="10" t="str">
        <f>HYPERLINK("https://www.artsobservasjoner.no/Share/ViewSightingAsMap/2208311/AEEF6C87","Gulbrystsnipe")</f>
        <v>Gulbrystsnipe</v>
      </c>
      <c r="E105" s="12" t="s">
        <v>6</v>
      </c>
    </row>
    <row r="106" ht="15.75" customHeight="1">
      <c r="A106" s="9">
        <v>81.0</v>
      </c>
      <c r="B106" s="10" t="str">
        <f>HYPERLINK("https://www.artsobservasjoner.no/Share/ViewSightingAsMap/2208303/536E9C0C","Little Stint")</f>
        <v>Little Stint</v>
      </c>
      <c r="C106" s="11" t="str">
        <f>HYPERLINK("https://www.artsobservasjoner.no/Share/ViewSightingAsMap/2208303/536E9C0C","Calidris minuta")</f>
        <v>Calidris minuta</v>
      </c>
      <c r="D106" s="10" t="str">
        <f>HYPERLINK("https://www.artsobservasjoner.no/Share/ViewSightingAsMap/2208303/536E9C0C","Dvergsnipe")</f>
        <v>Dvergsnipe</v>
      </c>
      <c r="E106" s="12" t="s">
        <v>8</v>
      </c>
    </row>
    <row r="107" ht="15.75" customHeight="1">
      <c r="A107" s="9">
        <v>82.0</v>
      </c>
      <c r="B107" s="10" t="str">
        <f>HYPERLINK("https://www.artsobservasjoner.no/Share/ViewSightingAsMap/2208315/3A426F81","White-rumped Sandpiper")</f>
        <v>White-rumped Sandpiper</v>
      </c>
      <c r="C107" s="11" t="str">
        <f>HYPERLINK("https://www.artsobservasjoner.no/Share/ViewSightingAsMap/2208315/3A426F81","Calidris fuscicollis")</f>
        <v>Calidris fuscicollis</v>
      </c>
      <c r="D107" s="10" t="str">
        <f>HYPERLINK("https://www.artsobservasjoner.no/Share/ViewSightingAsMap/2208315/3A426F81","Bonapartesnipe")</f>
        <v>Bonapartesnipe</v>
      </c>
      <c r="E107" s="12" t="s">
        <v>6</v>
      </c>
    </row>
    <row r="108" ht="15.75" customHeight="1">
      <c r="A108" s="9">
        <v>83.0</v>
      </c>
      <c r="B108" s="10" t="str">
        <f>HYPERLINK("https://www.artsobservasjoner.no/Share/ViewSightingAsMap/2208318/4340ECDE","Buff-breasted Sandpiper")</f>
        <v>Buff-breasted Sandpiper</v>
      </c>
      <c r="C108" s="11" t="str">
        <f>HYPERLINK("https://www.artsobservasjoner.no/Share/ViewSightingAsMap/2208318/4340ECDE","Calidris subruficollis")</f>
        <v>Calidris subruficollis</v>
      </c>
      <c r="D108" s="10" t="str">
        <f>HYPERLINK("https://www.artsobservasjoner.no/Share/ViewSightingAsMap/2208318/4340ECDE","Rustsnipe")</f>
        <v>Rustsnipe</v>
      </c>
      <c r="E108" s="12" t="s">
        <v>8</v>
      </c>
    </row>
    <row r="109" ht="15.75" customHeight="1">
      <c r="A109" s="9">
        <v>84.0</v>
      </c>
      <c r="B109" s="10" t="str">
        <f>HYPERLINK("http://svalbardbirds.weebly.com/pectoral-sandpiper.html","Pectoral Sandpiper")</f>
        <v>Pectoral Sandpiper</v>
      </c>
      <c r="C109" s="11" t="str">
        <f>HYPERLINK("http://svalbardbirds.weebly.com/pectoral-sandpiper.html","Calidris melanotos")</f>
        <v>Calidris melanotos</v>
      </c>
      <c r="D109" s="10" t="str">
        <f>HYPERLINK("http://svalbardbirds.weebly.com/alaskasnipe.html","Alaskasnipe")</f>
        <v>Alaskasnipe</v>
      </c>
      <c r="E109" s="12" t="s">
        <v>36</v>
      </c>
    </row>
    <row r="110" ht="15.75" customHeight="1">
      <c r="A110" s="9">
        <v>85.0</v>
      </c>
      <c r="B110" s="10" t="str">
        <f>HYPERLINK("https://www.artsobservasjoner.no/Share/ViewSightingAsMap/2208323/AA50224A","Eurasian Woodcock")</f>
        <v>Eurasian Woodcock</v>
      </c>
      <c r="C110" s="11" t="str">
        <f>HYPERLINK("https://www.artsobservasjoner.no/Share/ViewSightingAsMap/2208323/AA50224A","Scolopax rusticola")</f>
        <v>Scolopax rusticola</v>
      </c>
      <c r="D110" s="10" t="str">
        <f>HYPERLINK("https://www.artsobservasjoner.no/Share/ViewSightingAsMap/2208323/AA50224A","Rugde")</f>
        <v>Rugde</v>
      </c>
      <c r="E110" s="12" t="s">
        <v>8</v>
      </c>
    </row>
    <row r="111" ht="15.75" customHeight="1">
      <c r="A111" s="9">
        <v>86.0</v>
      </c>
      <c r="B111" s="10" t="str">
        <f>HYPERLINK("https://www.artsobservasjoner.no/Share/ViewSightingAsMap/2208321/2F739529","Jack Snipe")</f>
        <v>Jack Snipe</v>
      </c>
      <c r="C111" s="11" t="str">
        <f>HYPERLINK("https://www.artsobservasjoner.no/Share/ViewSightingAsMap/2208321/2F739529","Lymnocryptes minimus")</f>
        <v>Lymnocryptes minimus</v>
      </c>
      <c r="D111" s="10" t="str">
        <f>HYPERLINK("https://www.artsobservasjoner.no/Share/ViewSightingAsMap/2208321/2F739529","Kvartbekkasin")</f>
        <v>Kvartbekkasin</v>
      </c>
      <c r="E111" s="12" t="s">
        <v>6</v>
      </c>
    </row>
    <row r="112" ht="15.75" customHeight="1">
      <c r="A112" s="9">
        <v>87.0</v>
      </c>
      <c r="B112" s="10" t="str">
        <f>HYPERLINK("https://www.artsobservasjoner.no/Share/ViewSightingAsMap/2222260/B4F85C2D","Great Snipe")</f>
        <v>Great Snipe</v>
      </c>
      <c r="C112" s="11" t="str">
        <f>HYPERLINK("https://www.artsobservasjoner.no/Share/ViewSightingAsMap/2222260/B4F85C2D","Gallinago media")</f>
        <v>Gallinago media</v>
      </c>
      <c r="D112" s="10" t="str">
        <f>HYPERLINK("https://www.artsobservasjoner.no/Share/ViewSightingAsMap/2222260/B4F85C2D","Dobbeltbekkasin")</f>
        <v>Dobbeltbekkasin</v>
      </c>
      <c r="E112" s="12" t="s">
        <v>6</v>
      </c>
    </row>
    <row r="113" ht="15.75" customHeight="1">
      <c r="A113" s="9">
        <v>88.0</v>
      </c>
      <c r="B113" s="10" t="str">
        <f>HYPERLINK("http://svalbardbirds.weebly.com/common-snipe.html","Common Snipe")</f>
        <v>Common Snipe</v>
      </c>
      <c r="C113" s="11" t="str">
        <f>HYPERLINK("http://svalbardbirds.weebly.com/common-snipe.html","Gallinago gallinago")</f>
        <v>Gallinago gallinago</v>
      </c>
      <c r="D113" s="10" t="str">
        <f>HYPERLINK("http://svalbardbirds.weebly.com/enkeltbekkasin.html","Enkeltbekkasin")</f>
        <v>Enkeltbekkasin</v>
      </c>
      <c r="E113" s="12" t="s">
        <v>18</v>
      </c>
    </row>
    <row r="114" ht="15.75" customHeight="1">
      <c r="A114" s="9">
        <v>89.0</v>
      </c>
      <c r="B114" s="10" t="str">
        <f>HYPERLINK("https://www.artsobservasjoner.no/Share/ViewSightingAsMap/2208342/E02C3648","Terek Sandpiper")</f>
        <v>Terek Sandpiper</v>
      </c>
      <c r="C114" s="11" t="str">
        <f>HYPERLINK("https://www.artsobservasjoner.no/Share/ViewSightingAsMap/2208342/E02C3648","Xenus cinereus")</f>
        <v>Xenus cinereus</v>
      </c>
      <c r="D114" s="10" t="str">
        <f>HYPERLINK("https://www.artsobservasjoner.no/Share/ViewSightingAsMap/2208342/E02C3648","Tereksnipe")</f>
        <v>Tereksnipe</v>
      </c>
      <c r="E114" s="12" t="s">
        <v>6</v>
      </c>
    </row>
    <row r="115" ht="15.75" customHeight="1">
      <c r="A115" s="9">
        <v>90.0</v>
      </c>
      <c r="B115" s="10" t="str">
        <f>HYPERLINK("http://svalbardbirds.weebly.com/red-necked-phalarope.html","Red-necked Phalarope")</f>
        <v>Red-necked Phalarope</v>
      </c>
      <c r="C115" s="11" t="str">
        <f>HYPERLINK("http://svalbardbirds.weebly.com/red-necked-phalarope.html","Phalaropus lobatus")</f>
        <v>Phalaropus lobatus</v>
      </c>
      <c r="D115" s="10" t="str">
        <f>HYPERLINK("http://svalbardbirds.weebly.com/svoslashmmesnipe.html","Svømmesnipe")</f>
        <v>Svømmesnipe</v>
      </c>
      <c r="E115" s="12" t="s">
        <v>35</v>
      </c>
    </row>
    <row r="116" ht="15.75" customHeight="1">
      <c r="A116" s="9">
        <v>91.0</v>
      </c>
      <c r="B116" s="10" t="str">
        <f>HYPERLINK("http://svalbardbirds.weebly.com/grey-phalarope.html","Grey Phalarope")</f>
        <v>Grey Phalarope</v>
      </c>
      <c r="C116" s="11" t="str">
        <f>HYPERLINK("http://svalbardbirds.weebly.com/grey-phalarope.html","Phalaropus fulicarius")</f>
        <v>Phalaropus fulicarius</v>
      </c>
      <c r="D116" s="10" t="str">
        <f>HYPERLINK("http://svalbardbirds.weebly.com/polarsvoslashmmesnipe.html","Polarsvømmesnipe")</f>
        <v>Polarsvømmesnipe</v>
      </c>
      <c r="E116" s="12" t="s">
        <v>4</v>
      </c>
    </row>
    <row r="117" ht="15.75" customHeight="1">
      <c r="A117" s="9">
        <v>92.0</v>
      </c>
      <c r="B117" s="10" t="str">
        <f>HYPERLINK("https://www.artsobservasjoner.no/Share/ViewSightingAsMap/2208344/8F1ED967","Common Sandpiper")</f>
        <v>Common Sandpiper</v>
      </c>
      <c r="C117" s="11" t="str">
        <f>HYPERLINK("https://www.artsobservasjoner.no/Share/ViewSightingAsMap/2208344/8F1ED967","Actitis hypoleucos")</f>
        <v>Actitis hypoleucos</v>
      </c>
      <c r="D117" s="10" t="str">
        <f>HYPERLINK("https://www.artsobservasjoner.no/Share/ViewSightingAsMap/2208344/8F1ED967","Strandsnipe")</f>
        <v>Strandsnipe</v>
      </c>
      <c r="E117" s="12" t="s">
        <v>6</v>
      </c>
    </row>
    <row r="118" ht="15.75" customHeight="1">
      <c r="A118" s="9">
        <v>93.0</v>
      </c>
      <c r="B118" s="10" t="str">
        <f>HYPERLINK("https://www.artsobservasjoner.no/Share/ViewSightingAsMap/2208346/05502A94","Spotted Sandpiper")</f>
        <v>Spotted Sandpiper</v>
      </c>
      <c r="C118" s="11" t="str">
        <f>HYPERLINK("https://www.artsobservasjoner.no/Share/ViewSightingAsMap/2208346/05502A94","Actitis macularia")</f>
        <v>Actitis macularia</v>
      </c>
      <c r="D118" s="10" t="str">
        <f>HYPERLINK("https://www.artsobservasjoner.no/Share/ViewSightingAsMap/2208346/05502A94","Flekksnipe")</f>
        <v>Flekksnipe</v>
      </c>
      <c r="E118" s="12" t="s">
        <v>6</v>
      </c>
    </row>
    <row r="119" ht="15.75" customHeight="1">
      <c r="A119" s="9">
        <v>94.0</v>
      </c>
      <c r="B119" s="10" t="str">
        <f>HYPERLINK("https://www.artsobservasjoner.no/Share/ViewSightingAsMap/2208338/1559AE5B","Green Sandpiper")</f>
        <v>Green Sandpiper</v>
      </c>
      <c r="C119" s="11" t="str">
        <f>HYPERLINK("https://www.artsobservasjoner.no/Share/ViewSightingAsMap/2208338/1559AE5B","Tringa ochropus")</f>
        <v>Tringa ochropus</v>
      </c>
      <c r="D119" s="10" t="str">
        <f>HYPERLINK("https://www.artsobservasjoner.no/Share/ViewSightingAsMap/2208338/1559AE5B","Skogsnipe")</f>
        <v>Skogsnipe</v>
      </c>
      <c r="E119" s="12" t="s">
        <v>6</v>
      </c>
    </row>
    <row r="120" ht="15.75" customHeight="1">
      <c r="A120" s="9">
        <v>95.0</v>
      </c>
      <c r="B120" s="10" t="str">
        <f>HYPERLINK("https://www.artsobservasjoner.no/Share/ViewSightingAsMap/2208340/6EF637A2","Solitary Sandpiper")</f>
        <v>Solitary Sandpiper</v>
      </c>
      <c r="C120" s="11" t="str">
        <f>HYPERLINK("https://www.artsobservasjoner.no/Share/ViewSightingAsMap/2208340/6EF637A2","Tringa solitaria")</f>
        <v>Tringa solitaria</v>
      </c>
      <c r="D120" s="10" t="str">
        <f>HYPERLINK("https://www.artsobservasjoner.no/Share/ViewSightingAsMap/2208340/6EF637A2","Eremittsnipe")</f>
        <v>Eremittsnipe</v>
      </c>
      <c r="E120" s="12" t="s">
        <v>6</v>
      </c>
    </row>
    <row r="121" ht="15.75" customHeight="1">
      <c r="A121" s="9">
        <v>96.0</v>
      </c>
      <c r="B121" s="10" t="str">
        <f>HYPERLINK("https://www.artsobservasjoner.no/Share/ViewSightingAsMap/2208337/538E3E49","Lesser Yellowlegs")</f>
        <v>Lesser Yellowlegs</v>
      </c>
      <c r="C121" s="11" t="str">
        <f>HYPERLINK("https://www.artsobservasjoner.no/Share/ViewSightingAsMap/2208337/538E3E49","Tringa flavipes")</f>
        <v>Tringa flavipes</v>
      </c>
      <c r="D121" s="10" t="str">
        <f>HYPERLINK("https://www.artsobservasjoner.no/Share/ViewSightingAsMap/2208337/538E3E49","Gulbeinsnipe")</f>
        <v>Gulbeinsnipe</v>
      </c>
      <c r="E121" s="12" t="s">
        <v>6</v>
      </c>
    </row>
    <row r="122" ht="15.75" customHeight="1">
      <c r="A122" s="9">
        <v>97.0</v>
      </c>
      <c r="B122" s="10" t="str">
        <f>HYPERLINK("http://svalbardbirds.weebly.com/common-redshank.html","Common Redshank")</f>
        <v>Common Redshank</v>
      </c>
      <c r="C122" s="11" t="str">
        <f>HYPERLINK("http://svalbardbirds.weebly.com/common-redshank.html","Tringa totanus")</f>
        <v>Tringa totanus</v>
      </c>
      <c r="D122" s="10" t="str">
        <f>HYPERLINK("http://svalbardbirds.weebly.com/roslashdstilk.html","Rødstilk")</f>
        <v>Rødstilk</v>
      </c>
      <c r="E122" s="15" t="s">
        <v>36</v>
      </c>
    </row>
    <row r="123" ht="15.75" customHeight="1">
      <c r="A123" s="9">
        <v>98.0</v>
      </c>
      <c r="B123" s="10" t="str">
        <f>HYPERLINK("https://www.artsobservasjoner.no/Share/ViewSightingAsMap/2208335/40CFA77D","Wood Sandpiper")</f>
        <v>Wood Sandpiper</v>
      </c>
      <c r="C123" s="11" t="str">
        <f>HYPERLINK("https://www.artsobservasjoner.no/Share/ViewSightingAsMap/2208335/40CFA77D","Tringa glareola")</f>
        <v>Tringa glareola</v>
      </c>
      <c r="D123" s="10" t="str">
        <f>HYPERLINK("https://www.artsobservasjoner.no/Share/ViewSightingAsMap/2208335/40CFA77D","Grønnstilk")</f>
        <v>Grønnstilk</v>
      </c>
      <c r="E123" s="12" t="s">
        <v>6</v>
      </c>
    </row>
    <row r="124" ht="15.75" customHeight="1">
      <c r="A124" s="9">
        <v>99.0</v>
      </c>
      <c r="B124" s="10" t="str">
        <f>HYPERLINK("https://www.artsobservasjoner.no/Share/ViewSightingAsMap/2208329/CD91472B","Spotted Redshank")</f>
        <v>Spotted Redshank</v>
      </c>
      <c r="C124" s="11" t="str">
        <f>HYPERLINK("https://www.artsobservasjoner.no/Share/ViewSightingAsMap/2208329/CD91472B","Tringa erythropus")</f>
        <v>Tringa erythropus</v>
      </c>
      <c r="D124" s="10" t="str">
        <f>HYPERLINK("https://www.artsobservasjoner.no/Share/ViewSightingAsMap/2208329/CD91472B","Sotsnipe")</f>
        <v>Sotsnipe</v>
      </c>
      <c r="E124" s="12" t="s">
        <v>8</v>
      </c>
    </row>
    <row r="125" ht="15.75" customHeight="1">
      <c r="A125" s="9">
        <v>100.0</v>
      </c>
      <c r="B125" s="10" t="str">
        <f>HYPERLINK("https://www.artsobservasjoner.no/Share/ViewSightingAsMap/2208333/70D0B98F","Common Greenshank")</f>
        <v>Common Greenshank</v>
      </c>
      <c r="C125" s="11" t="str">
        <f>HYPERLINK("https://www.artsobservasjoner.no/Share/ViewSightingAsMap/2208333/70D0B98F","Tringa nebularia")</f>
        <v>Tringa nebularia</v>
      </c>
      <c r="D125" s="10" t="str">
        <f>HYPERLINK("https://www.artsobservasjoner.no/Share/ViewSightingAsMap/2208333/70D0B98F","Gluttsnipe")</f>
        <v>Gluttsnipe</v>
      </c>
      <c r="E125" s="12" t="s">
        <v>6</v>
      </c>
    </row>
    <row r="126" ht="15.75" customHeight="1">
      <c r="A126" s="9">
        <v>101.0</v>
      </c>
      <c r="B126" s="10" t="str">
        <f>HYPERLINK("http://svalbardbirds.weebly.com/black-legged-kittiwake.html","Black-legged Kittiwake")</f>
        <v>Black-legged Kittiwake</v>
      </c>
      <c r="C126" s="11" t="str">
        <f>HYPERLINK("http://svalbardbirds.weebly.com/black-legged-kittiwake.html","Rissa tridactyla")</f>
        <v>Rissa tridactyla</v>
      </c>
      <c r="D126" s="10" t="str">
        <f>HYPERLINK("http://svalbardbirds.weebly.com/krykkje.html","Krykkje")</f>
        <v>Krykkje</v>
      </c>
      <c r="E126" s="12" t="s">
        <v>10</v>
      </c>
    </row>
    <row r="127" ht="15.75" customHeight="1">
      <c r="A127" s="9">
        <v>102.0</v>
      </c>
      <c r="B127" s="10" t="str">
        <f>HYPERLINK("http://svalbardbirds.weebly.com/ivory-gull.html","Ivory Gull")</f>
        <v>Ivory Gull</v>
      </c>
      <c r="C127" s="11" t="str">
        <f>HYPERLINK("http://svalbardbirds.weebly.com/ivory-gull.html","Pagophila eburnea")</f>
        <v>Pagophila eburnea</v>
      </c>
      <c r="D127" s="10" t="str">
        <f>HYPERLINK("http://svalbardbirds.weebly.com/ismaringke.html","Ismåke")</f>
        <v>Ismåke</v>
      </c>
      <c r="E127" s="12" t="s">
        <v>34</v>
      </c>
    </row>
    <row r="128" ht="15.75" customHeight="1">
      <c r="A128" s="9">
        <v>103.0</v>
      </c>
      <c r="B128" s="10" t="str">
        <f>HYPERLINK("http://svalbardbirds.weebly.com/sabines-gull.html","Sabine's Gull")</f>
        <v>Sabine's Gull</v>
      </c>
      <c r="C128" s="11" t="str">
        <f>HYPERLINK("http://svalbardbirds.weebly.com/sabines-gull.html","Xema sabini")</f>
        <v>Xema sabini</v>
      </c>
      <c r="D128" s="10" t="str">
        <f>HYPERLINK("http://svalbardbirds.weebly.com/sabinemaringke.html","Sabinemåke")</f>
        <v>Sabinemåke</v>
      </c>
      <c r="E128" s="12" t="s">
        <v>37</v>
      </c>
    </row>
    <row r="129" ht="15.75" customHeight="1">
      <c r="A129" s="9">
        <v>104.0</v>
      </c>
      <c r="B129" s="10" t="str">
        <f>HYPERLINK("https://www.artsobservasjoner.no/Share/ViewSightingAsMap/2208362/7941D14F","Bonaparte's Gull")</f>
        <v>Bonaparte's Gull</v>
      </c>
      <c r="C129" s="11" t="str">
        <f>HYPERLINK("https://www.artsobservasjoner.no/Share/ViewSightingAsMap/2208362/7941D14F","Chroicocephalus philadelphia")</f>
        <v>Chroicocephalus philadelphia</v>
      </c>
      <c r="D129" s="10" t="str">
        <f>HYPERLINK("https://www.artsobservasjoner.no/Share/ViewSightingAsMap/2208362/7941D14F","Kanadahettemåke")</f>
        <v>Kanadahettemåke</v>
      </c>
      <c r="E129" s="12" t="s">
        <v>6</v>
      </c>
    </row>
    <row r="130" ht="15.75" customHeight="1">
      <c r="A130" s="9">
        <v>105.0</v>
      </c>
      <c r="B130" s="10" t="str">
        <f>HYPERLINK("http://svalbardbirds.weebly.com/black-headed-gull.html","Black-headed Gull")</f>
        <v>Black-headed Gull</v>
      </c>
      <c r="C130" s="11" t="str">
        <f>HYPERLINK("http://svalbardbirds.weebly.com/black-headed-gull.html","Chroicocephalus ridibundus")</f>
        <v>Chroicocephalus ridibundus</v>
      </c>
      <c r="D130" s="10" t="str">
        <f>HYPERLINK("http://svalbardbirds.weebly.com/hettemaringke.html","Hettemåke")</f>
        <v>Hettemåke</v>
      </c>
      <c r="E130" s="12" t="s">
        <v>38</v>
      </c>
    </row>
    <row r="131" ht="15.75" customHeight="1">
      <c r="A131" s="9">
        <v>106.0</v>
      </c>
      <c r="B131" s="10" t="str">
        <f>HYPERLINK("https://www.artsobservasjoner.no/Share/ViewSightingAsMap/2208356/61EB9DC7","Little Gull")</f>
        <v>Little Gull</v>
      </c>
      <c r="C131" s="11" t="str">
        <f>HYPERLINK("https://www.artsobservasjoner.no/Share/ViewSightingAsMap/2208356/61EB9DC7","Hydrocoloeus minutus")</f>
        <v>Hydrocoloeus minutus</v>
      </c>
      <c r="D131" s="10" t="str">
        <f>HYPERLINK("https://www.artsobservasjoner.no/Share/ViewSightingAsMap/2208356/61EB9DC7","Dvergmåke")</f>
        <v>Dvergmåke</v>
      </c>
      <c r="E131" s="12" t="s">
        <v>6</v>
      </c>
    </row>
    <row r="132" ht="15.75" customHeight="1">
      <c r="A132" s="9">
        <v>107.0</v>
      </c>
      <c r="B132" s="10" t="str">
        <f>HYPERLINK("http://svalbardbirds.weebly.com/rosss-gull.html","Ross's Gull")</f>
        <v>Ross's Gull</v>
      </c>
      <c r="C132" s="11" t="str">
        <f>HYPERLINK("http://svalbardbirds.weebly.com/rosss-gull.html","Rhodostethia rosea")</f>
        <v>Rhodostethia rosea</v>
      </c>
      <c r="D132" s="10" t="str">
        <f>HYPERLINK("http://svalbardbirds.weebly.com/rosenmaringke.html","Rosenmåke")</f>
        <v>Rosenmåke</v>
      </c>
      <c r="E132" s="12" t="s">
        <v>18</v>
      </c>
    </row>
    <row r="133" ht="15.75" customHeight="1">
      <c r="A133" s="9">
        <v>108.0</v>
      </c>
      <c r="B133" s="10" t="str">
        <f>HYPERLINK("https://www.artsobservasjoner.no/Share/ViewSightingAsMap/2208370/37AFDDFC","Laughing Gull")</f>
        <v>Laughing Gull</v>
      </c>
      <c r="C133" s="11" t="str">
        <f>HYPERLINK("https://www.artsobservasjoner.no/Share/ViewSightingAsMap/2208370/37AFDDFC","Leucophaeus atricilla")</f>
        <v>Leucophaeus atricilla</v>
      </c>
      <c r="D133" s="10" t="str">
        <f>HYPERLINK("https://www.artsobservasjoner.no/Share/ViewSightingAsMap/2208370/37AFDDFC","Lattermåke")</f>
        <v>Lattermåke</v>
      </c>
      <c r="E133" s="12" t="s">
        <v>6</v>
      </c>
    </row>
    <row r="134" ht="15.75" customHeight="1">
      <c r="A134" s="9">
        <v>109.0</v>
      </c>
      <c r="B134" s="10" t="str">
        <f>HYPERLINK("https://www.artsobservasjoner.no/Share/ViewSightingAsMap/2208350/F4303AD4","Franklin's Gull")</f>
        <v>Franklin's Gull</v>
      </c>
      <c r="C134" s="11" t="str">
        <f>HYPERLINK("https://www.artsobservasjoner.no/Share/ViewSightingAsMap/2208350/F4303AD4","Leucophaeus pipixcan")</f>
        <v>Leucophaeus pipixcan</v>
      </c>
      <c r="D134" s="10" t="str">
        <f>HYPERLINK("https://www.artsobservasjoner.no/Share/ViewSightingAsMap/2208350/F4303AD4","Franklinmåke")</f>
        <v>Franklinmåke</v>
      </c>
      <c r="E134" s="12" t="s">
        <v>6</v>
      </c>
    </row>
    <row r="135" ht="15.75" customHeight="1">
      <c r="A135" s="9">
        <v>110.0</v>
      </c>
      <c r="B135" s="10" t="str">
        <f>HYPERLINK("http://svalbardbirds.weebly.com/common-gull.html","Common Gull")</f>
        <v>Common Gull</v>
      </c>
      <c r="C135" s="11" t="str">
        <f>HYPERLINK("http://svalbardbirds.weebly.com/common-gull.html","Larus canus")</f>
        <v>Larus canus</v>
      </c>
      <c r="D135" s="10" t="str">
        <f>HYPERLINK("http://svalbardbirds.weebly.com/fiskemaringke.html","Fiskemåke")</f>
        <v>Fiskemåke</v>
      </c>
      <c r="E135" s="12" t="s">
        <v>39</v>
      </c>
    </row>
    <row r="136" ht="15.75" customHeight="1">
      <c r="A136" s="9">
        <v>111.0</v>
      </c>
      <c r="B136" s="10" t="str">
        <f>HYPERLINK("https://www.artsobservasjoner.no/Share/ViewSightingAsMap/2208369/7DA47463","Ring-billed Gull")</f>
        <v>Ring-billed Gull</v>
      </c>
      <c r="C136" s="11" t="str">
        <f>HYPERLINK("https://www.artsobservasjoner.no/Share/ViewSightingAsMap/2208369/7DA47463","Larus delawarensis")</f>
        <v>Larus delawarensis</v>
      </c>
      <c r="D136" s="10" t="str">
        <f>HYPERLINK("https://www.artsobservasjoner.no/Share/ViewSightingAsMap/2208369/7DA47463","Ringnebbmåke")</f>
        <v>Ringnebbmåke</v>
      </c>
      <c r="E136" s="12" t="s">
        <v>6</v>
      </c>
    </row>
    <row r="137" ht="15.75" customHeight="1">
      <c r="A137" s="9">
        <v>112.0</v>
      </c>
      <c r="B137" s="10" t="str">
        <f>HYPERLINK("http://svalbardbirds.weebly.com/great-black-backed-gull.html","Great Black-backed Gull")</f>
        <v>Great Black-backed Gull</v>
      </c>
      <c r="C137" s="11" t="str">
        <f>HYPERLINK("http://svalbardbirds.weebly.com/great-black-backed-gull.html","Larus marinus")</f>
        <v>Larus marinus</v>
      </c>
      <c r="D137" s="10" t="str">
        <f>HYPERLINK("http://svalbardbirds.weebly.com/svartbak.html","Svartbak")</f>
        <v>Svartbak</v>
      </c>
      <c r="E137" s="12" t="s">
        <v>34</v>
      </c>
    </row>
    <row r="138" ht="15.75" customHeight="1">
      <c r="A138" s="9">
        <v>113.0</v>
      </c>
      <c r="B138" s="10" t="str">
        <f>HYPERLINK("http://svalbardbirds.weebly.com/glaucous-gull.html","Glaucous Gull")</f>
        <v>Glaucous Gull</v>
      </c>
      <c r="C138" s="11" t="str">
        <f>HYPERLINK("http://svalbardbirds.weebly.com/glaucous-gull.html","Larus hyperboreus")</f>
        <v>Larus hyperboreus</v>
      </c>
      <c r="D138" s="10" t="str">
        <f>HYPERLINK("http://svalbardbirds.weebly.com/polarmaringke.html","Polarmåke")</f>
        <v>Polarmåke</v>
      </c>
      <c r="E138" s="12" t="s">
        <v>4</v>
      </c>
    </row>
    <row r="139" ht="15.75" customHeight="1">
      <c r="A139" s="9">
        <v>114.0</v>
      </c>
      <c r="B139" s="10" t="str">
        <f>HYPERLINK("http://svalbardbirds.weebly.com/iceland-gull.html","Iceland Gull")</f>
        <v>Iceland Gull</v>
      </c>
      <c r="C139" s="11" t="str">
        <f>HYPERLINK("http://svalbardbirds.weebly.com/iceland-gull.html","Larus glaucoides")</f>
        <v>Larus glaucoides</v>
      </c>
      <c r="D139" s="10" t="str">
        <f>HYPERLINK("http://svalbardbirds.weebly.com/groslashnlandsmaringke.html","Grønlandsmåke")</f>
        <v>Grønlandsmåke</v>
      </c>
      <c r="E139" s="12" t="s">
        <v>15</v>
      </c>
    </row>
    <row r="140" ht="15.75" customHeight="1">
      <c r="A140" s="9">
        <v>115.0</v>
      </c>
      <c r="B140" s="10" t="str">
        <f>HYPERLINK("http://svalbardbirds.weebly.com/european-herring-gull.html","European Herring Gull")</f>
        <v>European Herring Gull</v>
      </c>
      <c r="C140" s="11" t="str">
        <f>HYPERLINK("http://svalbardbirds.weebly.com/european-herring-gull.html","Larus argentatus")</f>
        <v>Larus argentatus</v>
      </c>
      <c r="D140" s="10" t="str">
        <f>HYPERLINK("http://svalbardbirds.weebly.com/graringmaringke.html","Gråmåke")</f>
        <v>Gråmåke</v>
      </c>
      <c r="E140" s="12" t="s">
        <v>40</v>
      </c>
    </row>
    <row r="141" ht="15.75" customHeight="1">
      <c r="A141" s="9">
        <v>116.0</v>
      </c>
      <c r="B141" s="10" t="str">
        <f>HYPERLINK("http://svalbardbirds.weebly.com/lesser-black-backed-gull.html","Lesser Black-backed Gull")</f>
        <v>Lesser Black-backed Gull</v>
      </c>
      <c r="C141" s="11" t="str">
        <f>HYPERLINK("http://svalbardbirds.weebly.com/lesser-black-backed-gull.html","Larus fuscus")</f>
        <v>Larus fuscus</v>
      </c>
      <c r="D141" s="10" t="str">
        <f>HYPERLINK("http://svalbardbirds.weebly.com/sildemaringke.html","Sildemåke")</f>
        <v>Sildemåke</v>
      </c>
      <c r="E141" s="12" t="s">
        <v>39</v>
      </c>
    </row>
    <row r="142" ht="15.75" customHeight="1">
      <c r="A142" s="9">
        <v>117.0</v>
      </c>
      <c r="B142" s="10" t="str">
        <f>HYPERLINK("http://svalbardbirds.weebly.com/arctic-tern.html","Arctic Tern")</f>
        <v>Arctic Tern</v>
      </c>
      <c r="C142" s="11" t="str">
        <f>HYPERLINK("http://svalbardbirds.weebly.com/arctic-tern.html","Sterna paradisaea")</f>
        <v>Sterna paradisaea</v>
      </c>
      <c r="D142" s="10" t="str">
        <f>HYPERLINK("http://svalbardbirds.weebly.com/roslashdnebbterne.html","Rødnebbterne")</f>
        <v>Rødnebbterne</v>
      </c>
      <c r="E142" s="12" t="s">
        <v>10</v>
      </c>
    </row>
    <row r="143" ht="15.75" customHeight="1">
      <c r="A143" s="9">
        <v>118.0</v>
      </c>
      <c r="B143" s="10" t="str">
        <f>HYPERLINK("https://www.artsobservasjoner.no/Share/ViewSightingAsMap/2208374/24927D7D","Black Tern")</f>
        <v>Black Tern</v>
      </c>
      <c r="C143" s="11" t="str">
        <f>HYPERLINK("https://www.artsobservasjoner.no/Share/ViewSightingAsMap/2208374/24927D7D","Chlidonias niger")</f>
        <v>Chlidonias niger</v>
      </c>
      <c r="D143" s="10" t="str">
        <f>HYPERLINK("https://www.artsobservasjoner.no/Share/ViewSightingAsMap/2208374/24927D7D","Svartterne")</f>
        <v>Svartterne</v>
      </c>
      <c r="E143" s="12" t="s">
        <v>6</v>
      </c>
    </row>
    <row r="144" ht="15.75" customHeight="1">
      <c r="A144" s="9">
        <v>119.0</v>
      </c>
      <c r="B144" s="10" t="str">
        <f>HYPERLINK("http://svalbardbirds.weebly.com/great-skua.html","Great Skua")</f>
        <v>Great Skua</v>
      </c>
      <c r="C144" s="11" t="str">
        <f>HYPERLINK("http://svalbardbirds.weebly.com/great-skua.html","Stercorarius skua")</f>
        <v>Stercorarius skua</v>
      </c>
      <c r="D144" s="10" t="str">
        <f>HYPERLINK("http://svalbardbirds.weebly.com/storjo.html","Storjo")</f>
        <v>Storjo</v>
      </c>
      <c r="E144" s="12" t="s">
        <v>4</v>
      </c>
    </row>
    <row r="145" ht="15.75" customHeight="1">
      <c r="A145" s="9">
        <v>120.0</v>
      </c>
      <c r="B145" s="10" t="str">
        <f>HYPERLINK("http://svalbardbirds.weebly.com/pomarine-skua.html","Pomarine Skua")</f>
        <v>Pomarine Skua</v>
      </c>
      <c r="C145" s="11" t="str">
        <f>HYPERLINK("http://svalbardbirds.weebly.com/pomarine-skua.html","Stercorarius pomarinus")</f>
        <v>Stercorarius pomarinus</v>
      </c>
      <c r="D145" s="10" t="str">
        <f>HYPERLINK("http://svalbardbirds.weebly.com/polarjo.html","Polarjo")</f>
        <v>Polarjo</v>
      </c>
      <c r="E145" s="12" t="s">
        <v>11</v>
      </c>
    </row>
    <row r="146" ht="15.75" customHeight="1">
      <c r="A146" s="9">
        <v>121.0</v>
      </c>
      <c r="B146" s="10" t="str">
        <f>HYPERLINK("http://svalbardbirds.weebly.com/arctic-skua.html","Arctic Skua")</f>
        <v>Arctic Skua</v>
      </c>
      <c r="C146" s="11" t="str">
        <f>HYPERLINK("http://svalbardbirds.weebly.com/arctic-skua.html","Stercorarius parasiticus")</f>
        <v>Stercorarius parasiticus</v>
      </c>
      <c r="D146" s="10" t="str">
        <f>HYPERLINK("http://svalbardbirds.weebly.com/tyvjo.html","Tyvjo")</f>
        <v>Tyvjo</v>
      </c>
      <c r="E146" s="12" t="s">
        <v>4</v>
      </c>
    </row>
    <row r="147" ht="15.75" customHeight="1">
      <c r="A147" s="9">
        <v>122.0</v>
      </c>
      <c r="B147" s="10" t="str">
        <f>HYPERLINK("http://svalbardbirds.weebly.com/long-tailed-skua.html","Long-tailed Skua")</f>
        <v>Long-tailed Skua</v>
      </c>
      <c r="C147" s="11" t="str">
        <f>HYPERLINK("http://svalbardbirds.weebly.com/long-tailed-skua.html","Stercorarius longicaudus")</f>
        <v>Stercorarius longicaudus</v>
      </c>
      <c r="D147" s="10" t="str">
        <f>HYPERLINK("http://svalbardbirds.weebly.com/fjelljo.html","Fjelljo")</f>
        <v>Fjelljo</v>
      </c>
      <c r="E147" s="12" t="s">
        <v>41</v>
      </c>
    </row>
    <row r="148" ht="15.75" customHeight="1">
      <c r="A148" s="9">
        <v>123.0</v>
      </c>
      <c r="B148" s="10" t="str">
        <f>HYPERLINK("http://svalbardbirds.weebly.com/little-auk.html","Little Auk")</f>
        <v>Little Auk</v>
      </c>
      <c r="C148" s="11" t="str">
        <f>HYPERLINK("http://svalbardbirds.weebly.com/little-auk.html","Alle alle")</f>
        <v>Alle alle</v>
      </c>
      <c r="D148" s="10" t="str">
        <f>HYPERLINK("http://svalbardbirds.weebly.com/alkekonge.html","Alkekonge")</f>
        <v>Alkekonge</v>
      </c>
      <c r="E148" s="12" t="s">
        <v>10</v>
      </c>
    </row>
    <row r="149" ht="15.75" customHeight="1">
      <c r="A149" s="9">
        <v>124.0</v>
      </c>
      <c r="B149" s="10" t="str">
        <f>HYPERLINK("http://svalbardbirds.weebly.com/bruumlnnichs-guillemot.html","Brünnich's Guillemot")</f>
        <v>Brünnich's Guillemot</v>
      </c>
      <c r="C149" s="11" t="str">
        <f>HYPERLINK("http://svalbardbirds.weebly.com/bruumlnnichs-guillemot.html","Uria lomvia")</f>
        <v>Uria lomvia</v>
      </c>
      <c r="D149" s="10" t="str">
        <f>HYPERLINK("http://svalbardbirds.weebly.com/polarlomvi.html","Polarlomvi")</f>
        <v>Polarlomvi</v>
      </c>
      <c r="E149" s="12" t="s">
        <v>10</v>
      </c>
    </row>
    <row r="150" ht="15.75" customHeight="1">
      <c r="A150" s="9">
        <v>125.0</v>
      </c>
      <c r="B150" s="10" t="str">
        <f>HYPERLINK("http://svalbardbirds.weebly.com/common-guillemot.html","Common Guillemot")</f>
        <v>Common Guillemot</v>
      </c>
      <c r="C150" s="11" t="str">
        <f>HYPERLINK("http://svalbardbirds.weebly.com/common-guillemot.html","Uria aalge")</f>
        <v>Uria aalge</v>
      </c>
      <c r="D150" s="10" t="str">
        <f>HYPERLINK("http://svalbardbirds.weebly.com/lomvi.html","Lomvi")</f>
        <v>Lomvi</v>
      </c>
      <c r="E150" s="12" t="s">
        <v>42</v>
      </c>
    </row>
    <row r="151" ht="15.75" customHeight="1">
      <c r="A151" s="9">
        <v>126.0</v>
      </c>
      <c r="B151" s="10" t="str">
        <f>HYPERLINK("http://svalbardbirds.weebly.com/razorbill.html","Razorbill")</f>
        <v>Razorbill</v>
      </c>
      <c r="C151" s="11" t="str">
        <f>HYPERLINK("http://svalbardbirds.weebly.com/razorbill.html","Alca torda")</f>
        <v>Alca torda</v>
      </c>
      <c r="D151" s="10" t="str">
        <f>HYPERLINK("http://svalbardbirds.weebly.com/alke.html","Alke")</f>
        <v>Alke</v>
      </c>
      <c r="E151" s="12" t="s">
        <v>34</v>
      </c>
    </row>
    <row r="152" ht="15.75" customHeight="1">
      <c r="A152" s="9">
        <v>127.0</v>
      </c>
      <c r="B152" s="10" t="str">
        <f>HYPERLINK("http://svalbardbirds.weebly.com/black-guillemot.html","Black Guillemot")</f>
        <v>Black Guillemot</v>
      </c>
      <c r="C152" s="20" t="str">
        <f>HYPERLINK("http://svalbardbirds.weebly.com/black-guillemot.html","Cepphus grylle mandtii")</f>
        <v>Cepphus grylle mandtii</v>
      </c>
      <c r="D152" s="10" t="str">
        <f>HYPERLINK("http://svalbardbirds.weebly.com/teist.html","Teist")</f>
        <v>Teist</v>
      </c>
      <c r="E152" s="12" t="s">
        <v>10</v>
      </c>
    </row>
    <row r="153" ht="15.75" customHeight="1">
      <c r="A153" s="9">
        <v>128.0</v>
      </c>
      <c r="B153" s="10" t="str">
        <f>HYPERLINK("http://svalbardbirds.weebly.com/atlantic-puffin.html","Atlantic Puffin")</f>
        <v>Atlantic Puffin</v>
      </c>
      <c r="C153" s="11" t="str">
        <f>HYPERLINK("http://svalbardbirds.weebly.com/atlantic-puffin.html","Fratercula arctica")</f>
        <v>Fratercula arctica</v>
      </c>
      <c r="D153" s="10" t="str">
        <f>HYPERLINK("http://svalbardbirds.weebly.com/lunde.html","Lunde")</f>
        <v>Lunde</v>
      </c>
      <c r="E153" s="12" t="s">
        <v>10</v>
      </c>
    </row>
    <row r="154" ht="15.75" customHeight="1">
      <c r="A154" s="9">
        <v>129.0</v>
      </c>
      <c r="B154" s="10" t="str">
        <f>HYPERLINK("https://www.artsobservasjoner.no/Share/ViewSightingAsMap/2641743/0ED9B6AE","Tufted Puffin")</f>
        <v>Tufted Puffin</v>
      </c>
      <c r="C154" s="11" t="str">
        <f>HYPERLINK("https://www.artsobservasjoner.no/Share/ViewSightingAsMap/2641743/0ED9B6AE","Fratercula cirrhata")</f>
        <v>Fratercula cirrhata</v>
      </c>
      <c r="D154" s="10" t="str">
        <f>HYPERLINK("https://www.artsobservasjoner.no/Share/ViewSightingAsMap/2641743/0ED9B6AE","Topplunde")</f>
        <v>Topplunde</v>
      </c>
      <c r="E154" s="12" t="s">
        <v>6</v>
      </c>
    </row>
    <row r="155" ht="15.75" customHeight="1">
      <c r="A155" s="9"/>
      <c r="B155" s="12"/>
      <c r="C155" s="14"/>
      <c r="D155" s="12"/>
      <c r="E155" s="12"/>
    </row>
    <row r="156" ht="15.75" customHeight="1">
      <c r="A156" s="9"/>
      <c r="B156" s="23" t="s">
        <v>43</v>
      </c>
      <c r="C156" s="24"/>
      <c r="D156" s="24"/>
      <c r="E156" s="25"/>
    </row>
    <row r="157" ht="15.75" customHeight="1">
      <c r="A157" s="9">
        <v>130.0</v>
      </c>
      <c r="B157" s="10" t="str">
        <f>HYPERLINK("http://svalbardbirds.weebly.com/red-throated-diver.html","Red-throated Diver")</f>
        <v>Red-throated Diver</v>
      </c>
      <c r="C157" s="11" t="str">
        <f>HYPERLINK("http://svalbardbirds.weebly.com/red-throated-diver.html","Gavia stellata")</f>
        <v>Gavia stellata</v>
      </c>
      <c r="D157" s="10" t="str">
        <f>HYPERLINK("http://svalbardbirds.weebly.com/smaringlom.html","Smålom")</f>
        <v>Smålom</v>
      </c>
      <c r="E157" s="12" t="s">
        <v>4</v>
      </c>
    </row>
    <row r="158" ht="15.75" customHeight="1">
      <c r="A158" s="9">
        <v>131.0</v>
      </c>
      <c r="B158" s="10" t="str">
        <f>HYPERLINK("https://www.artsobservasjoner.no/Share/ViewSightingAsMap/2208260/06A8EC62","Black-throated Diver")</f>
        <v>Black-throated Diver</v>
      </c>
      <c r="C158" s="11" t="str">
        <f>HYPERLINK("https://www.artsobservasjoner.no/Share/ViewSightingAsMap/2208260/06A8EC62","Gavia arctica")</f>
        <v>Gavia arctica</v>
      </c>
      <c r="D158" s="10" t="str">
        <f>HYPERLINK("https://www.artsobservasjoner.no/Share/ViewSightingAsMap/2208260/06A8EC62","Storlom")</f>
        <v>Storlom</v>
      </c>
      <c r="E158" s="12" t="s">
        <v>44</v>
      </c>
    </row>
    <row r="159" ht="15.75" customHeight="1">
      <c r="A159" s="9">
        <v>132.0</v>
      </c>
      <c r="B159" s="10" t="str">
        <f>HYPERLINK("http://svalbardbirds.weebly.com/great-northern-diver.html","Great Northern Diver")</f>
        <v>Great Northern Diver</v>
      </c>
      <c r="C159" s="20" t="str">
        <f>HYPERLINK("http://svalbardbirds.weebly.com/great-northern-diver.html","Gavia immer")</f>
        <v>Gavia immer</v>
      </c>
      <c r="D159" s="10" t="str">
        <f>HYPERLINK("http://svalbardbirds.weebly.com/islom.html","Islom")</f>
        <v>Islom</v>
      </c>
      <c r="E159" s="12" t="s">
        <v>45</v>
      </c>
    </row>
    <row r="160" ht="15.75" customHeight="1">
      <c r="A160" s="9">
        <v>133.0</v>
      </c>
      <c r="B160" s="10" t="str">
        <f>HYPERLINK("https://www.artsobservasjoner.no/Share/ViewSightingAsMap/2208262/00F8B1E2","Yellow-billed Diver")</f>
        <v>Yellow-billed Diver</v>
      </c>
      <c r="C160" s="11" t="str">
        <f>HYPERLINK("https://www.artsobservasjoner.no/Share/ViewSightingAsMap/2208262/00F8B1E2","Gavia adamsii")</f>
        <v>Gavia adamsii</v>
      </c>
      <c r="D160" s="10" t="str">
        <f>HYPERLINK("https://www.artsobservasjoner.no/Share/ViewSightingAsMap/2208262/00F8B1E2","Gulnebblom")</f>
        <v>Gulnebblom</v>
      </c>
      <c r="E160" s="12" t="s">
        <v>8</v>
      </c>
    </row>
    <row r="161" ht="15.75" customHeight="1">
      <c r="A161" s="17"/>
      <c r="B161" s="12"/>
      <c r="C161" s="12"/>
      <c r="D161" s="12"/>
      <c r="E161" s="12"/>
    </row>
    <row r="162" ht="15.75" customHeight="1">
      <c r="A162" s="17"/>
      <c r="B162" s="23" t="s">
        <v>46</v>
      </c>
      <c r="C162" s="24"/>
      <c r="D162" s="24"/>
      <c r="E162" s="25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 ht="15.75" customHeight="1">
      <c r="A163" s="9">
        <v>134.0</v>
      </c>
      <c r="B163" s="10" t="str">
        <f>HYPERLINK("https://www.artsobservasjoner.no/Share/ViewSightingAsMap/2208271/12CEDAA5","Wilson’s Storm Petrel")</f>
        <v>Wilson’s Storm Petrel</v>
      </c>
      <c r="C163" s="11" t="str">
        <f>HYPERLINK("https://www.artsobservasjoner.no/Share/ViewSightingAsMap/2208271/12CEDAA5","Oceanites oceanicus")</f>
        <v>Oceanites oceanicus</v>
      </c>
      <c r="D163" s="10" t="str">
        <f>HYPERLINK("https://www.artsobservasjoner.no/Share/ViewSightingAsMap/2208271/12CEDAA5","Oseanstormsvale")</f>
        <v>Oseanstormsvale</v>
      </c>
      <c r="E163" s="12" t="s">
        <v>47</v>
      </c>
    </row>
    <row r="164" ht="15.75" customHeight="1">
      <c r="A164" s="9">
        <v>135.0</v>
      </c>
      <c r="B164" s="10" t="str">
        <f>HYPERLINK("https://www.artsobservasjoner.no/Share/ViewSightingAsMap/2208265/01355DD2","Black-browed Albatross")</f>
        <v>Black-browed Albatross</v>
      </c>
      <c r="C164" s="11" t="str">
        <f>HYPERLINK("https://www.artsobservasjoner.no/Share/ViewSightingAsMap/2208265/01355DD2","Thalassarche melanophris")</f>
        <v>Thalassarche melanophris</v>
      </c>
      <c r="D164" s="10" t="str">
        <f>HYPERLINK("https://www.artsobservasjoner.no/Share/ViewSightingAsMap/2208265/01355DD2","Svartbrynalbatross")</f>
        <v>Svartbrynalbatross</v>
      </c>
      <c r="E164" s="12" t="s">
        <v>47</v>
      </c>
    </row>
    <row r="165" ht="15.75" customHeight="1">
      <c r="A165" s="9">
        <v>136.0</v>
      </c>
      <c r="B165" s="10" t="str">
        <f>HYPERLINK("https://www.artsobservasjoner.no/Share/ViewSightingAsMap/2208272/140A1E8B","European Storm Petrel")</f>
        <v>European Storm Petrel</v>
      </c>
      <c r="C165" s="20" t="str">
        <f>HYPERLINK("https://www.artsobservasjoner.no/Share/ViewSightingAsMap/2208272/140A1E8B","Hydrobates pelagicus")</f>
        <v>Hydrobates pelagicus</v>
      </c>
      <c r="D165" s="10" t="str">
        <f>HYPERLINK("https://www.artsobservasjoner.no/Share/ViewSightingAsMap/2208272/140A1E8B","Havsvale")</f>
        <v>Havsvale</v>
      </c>
      <c r="E165" s="12" t="s">
        <v>6</v>
      </c>
    </row>
    <row r="166" ht="15.75" customHeight="1">
      <c r="A166" s="9">
        <v>137.0</v>
      </c>
      <c r="B166" s="10" t="str">
        <f>HYPERLINK("https://www.artsobservasjoner.no/Share/ViewSightingAsMap/2208273/8DB7EBF8","Leach's Storm-petrel")</f>
        <v>Leach's Storm-petrel</v>
      </c>
      <c r="C166" s="11" t="str">
        <f>HYPERLINK("https://www.artsobservasjoner.no/Share/ViewSightingAsMap/2208273/8DB7EBF8","Hydrobates leucorhous")</f>
        <v>Hydrobates leucorhous</v>
      </c>
      <c r="D166" s="10" t="str">
        <f>HYPERLINK("https://www.artsobservasjoner.no/Share/ViewSightingAsMap/2208273/8DB7EBF8","Stormsvale")</f>
        <v>Stormsvale</v>
      </c>
      <c r="E166" s="12" t="s">
        <v>6</v>
      </c>
    </row>
    <row r="167" ht="15.75" customHeight="1">
      <c r="A167" s="9">
        <v>138.0</v>
      </c>
      <c r="B167" s="10" t="str">
        <f>HYPERLINK("http://svalbardbirds.weebly.com/northern-fulmar.html","Northern Fulmar")</f>
        <v>Northern Fulmar</v>
      </c>
      <c r="C167" s="11" t="str">
        <f>HYPERLINK("http://svalbardbirds.weebly.com/northern-fulmar.html","Fulmarus glacialis")</f>
        <v>Fulmarus glacialis</v>
      </c>
      <c r="D167" s="10" t="str">
        <f>HYPERLINK("http://svalbardbirds.weebly.com/havhest.html","Havhest")</f>
        <v>Havhest</v>
      </c>
      <c r="E167" s="12" t="s">
        <v>10</v>
      </c>
    </row>
    <row r="168" ht="15.75" customHeight="1">
      <c r="A168" s="9">
        <v>139.0</v>
      </c>
      <c r="B168" s="10" t="str">
        <f>HYPERLINK("https://www.artsobservasjoner.no/Share/ViewSightingAsMap/2208269/64BD3960","Sooty Shearwater")</f>
        <v>Sooty Shearwater</v>
      </c>
      <c r="C168" s="11" t="str">
        <f>HYPERLINK("https://www.artsobservasjoner.no/Share/ViewSightingAsMap/2208269/64BD3960","Ardenna griseus")</f>
        <v>Ardenna griseus</v>
      </c>
      <c r="D168" s="10" t="str">
        <f>HYPERLINK("https://www.artsobservasjoner.no/Share/ViewSightingAsMap/2208269/64BD3960","Grålire")</f>
        <v>Grålire</v>
      </c>
      <c r="E168" s="12" t="s">
        <v>47</v>
      </c>
    </row>
    <row r="169" ht="15.75" customHeight="1">
      <c r="A169" s="9">
        <v>140.0</v>
      </c>
      <c r="B169" s="10" t="str">
        <f>HYPERLINK("https://www.artsobservasjoner.no/Share/ViewSightingAsMap/2208270/866BBC26","Manx Shearwater")</f>
        <v>Manx Shearwater</v>
      </c>
      <c r="C169" s="11" t="str">
        <f>HYPERLINK("https://www.artsobservasjoner.no/Share/ViewSightingAsMap/2208270/866BBC26","Puffinus puffinus")</f>
        <v>Puffinus puffinus</v>
      </c>
      <c r="D169" s="10" t="str">
        <f>HYPERLINK("https://www.artsobservasjoner.no/Share/ViewSightingAsMap/2208270/866BBC26","Havlire")</f>
        <v>Havlire</v>
      </c>
      <c r="E169" s="12" t="s">
        <v>47</v>
      </c>
    </row>
    <row r="170" ht="15.75" customHeight="1">
      <c r="A170" s="13"/>
      <c r="B170" s="21"/>
      <c r="C170" s="21"/>
      <c r="D170" s="21"/>
      <c r="E170" s="21"/>
    </row>
    <row r="171" ht="15.75" customHeight="1">
      <c r="A171" s="17"/>
      <c r="B171" s="27" t="s">
        <v>48</v>
      </c>
      <c r="C171" s="24"/>
      <c r="D171" s="24"/>
      <c r="E171" s="25"/>
    </row>
    <row r="172" ht="15.75" customHeight="1">
      <c r="A172" s="9">
        <v>141.0</v>
      </c>
      <c r="B172" s="10" t="str">
        <f>HYPERLINK("http://svalbardbirds.weebly.com/northern-gannet.html","Northern Gannet")</f>
        <v>Northern Gannet</v>
      </c>
      <c r="C172" s="20" t="str">
        <f>HYPERLINK("http://svalbardbirds.weebly.com/northern-gannet.html","Morus bassanus")</f>
        <v>Morus bassanus</v>
      </c>
      <c r="D172" s="10" t="str">
        <f>HYPERLINK("http://svalbardbirds.weebly.com/havsule.html","Havsule")</f>
        <v>Havsule</v>
      </c>
      <c r="E172" s="12" t="s">
        <v>49</v>
      </c>
    </row>
    <row r="173" ht="15.75" customHeight="1">
      <c r="A173" s="9">
        <v>142.0</v>
      </c>
      <c r="B173" s="10" t="str">
        <f>HYPERLINK("https://www.artsobservasjoner.no/Share/ViewSightingAsMap/2208274/287D2E70","Great Cormorant")</f>
        <v>Great Cormorant</v>
      </c>
      <c r="C173" s="11" t="str">
        <f>HYPERLINK("https://www.artsobservasjoner.no/Share/ViewSightingAsMap/2208274/287D2E70","Phalacrocorax carbo")</f>
        <v>Phalacrocorax carbo</v>
      </c>
      <c r="D173" s="10" t="str">
        <f>HYPERLINK("https://www.artsobservasjoner.no/Share/ViewSightingAsMap/2208274/287D2E70","Storskarv")</f>
        <v>Storskarv</v>
      </c>
      <c r="E173" s="12" t="s">
        <v>6</v>
      </c>
    </row>
    <row r="174" ht="15.75" customHeight="1">
      <c r="A174" s="17"/>
      <c r="B174" s="12"/>
      <c r="C174" s="12"/>
      <c r="D174" s="12"/>
      <c r="E174" s="12"/>
    </row>
    <row r="175" ht="15.75" customHeight="1">
      <c r="A175" s="17"/>
      <c r="B175" s="27" t="s">
        <v>50</v>
      </c>
      <c r="C175" s="24"/>
      <c r="D175" s="24"/>
      <c r="E175" s="25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 ht="15.75" customHeight="1">
      <c r="A176" s="9">
        <v>143.0</v>
      </c>
      <c r="B176" s="10" t="str">
        <f>HYPERLINK("https://www.artsobservasjoner.no/Share/ViewSightingAsMap/2208275/A89AC984","Eurasian Bittern")</f>
        <v>Eurasian Bittern</v>
      </c>
      <c r="C176" s="11" t="str">
        <f>HYPERLINK("https://www.artsobservasjoner.no/Share/ViewSightingAsMap/2208275/A89AC984","Botaurus stellaris")</f>
        <v>Botaurus stellaris</v>
      </c>
      <c r="D176" s="10" t="str">
        <f>HYPERLINK("https://www.artsobservasjoner.no/Share/ViewSightingAsMap/2208275/A89AC984","Rørdrum")</f>
        <v>Rørdrum</v>
      </c>
      <c r="E176" s="12" t="s">
        <v>6</v>
      </c>
    </row>
    <row r="177" ht="15.75" customHeight="1">
      <c r="A177" s="9">
        <v>144.0</v>
      </c>
      <c r="B177" s="10" t="str">
        <f>HYPERLINK("https://www.artsobservasjoner.no/Share/ViewSightingAsMap/2208277/10E4B1E4","Grey Heron")</f>
        <v>Grey Heron</v>
      </c>
      <c r="C177" s="11" t="str">
        <f>HYPERLINK("https://www.artsobservasjoner.no/Share/ViewSightingAsMap/2208277/10E4B1E4","Ardea cinerea")</f>
        <v>Ardea cinerea</v>
      </c>
      <c r="D177" s="10" t="str">
        <f>HYPERLINK("https://www.artsobservasjoner.no/Share/ViewSightingAsMap/2208277/10E4B1E4","Gråhegre")</f>
        <v>Gråhegre</v>
      </c>
      <c r="E177" s="12" t="s">
        <v>8</v>
      </c>
    </row>
    <row r="178" ht="15.75" customHeight="1">
      <c r="A178" s="9">
        <v>145.0</v>
      </c>
      <c r="B178" s="10" t="str">
        <f>HYPERLINK("https://www.artsobservasjoner.no/Share/ViewSightingAsMap/2208276/252075F1","Great Egret")</f>
        <v>Great Egret</v>
      </c>
      <c r="C178" s="20" t="str">
        <f>HYPERLINK("https://www.artsobservasjoner.no/Share/ViewSightingAsMap/2208276/252075F1","Ardea alba")</f>
        <v>Ardea alba</v>
      </c>
      <c r="D178" s="10" t="str">
        <f>HYPERLINK("https://www.artsobservasjoner.no/Share/ViewSightingAsMap/2208276/252075F1","Egretthegre")</f>
        <v>Egretthegre</v>
      </c>
      <c r="E178" s="12" t="s">
        <v>6</v>
      </c>
    </row>
    <row r="179" ht="15.75" customHeight="1">
      <c r="A179" s="17"/>
      <c r="B179" s="21"/>
      <c r="C179" s="21"/>
      <c r="D179" s="21"/>
      <c r="E179" s="21"/>
    </row>
    <row r="180" ht="15.75" customHeight="1">
      <c r="A180" s="17"/>
      <c r="B180" s="23" t="s">
        <v>51</v>
      </c>
      <c r="C180" s="24"/>
      <c r="D180" s="24"/>
      <c r="E180" s="25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 ht="15.75" customHeight="1">
      <c r="A181" s="9">
        <v>146.0</v>
      </c>
      <c r="B181" s="10" t="s">
        <v>52</v>
      </c>
      <c r="C181" s="11" t="s">
        <v>53</v>
      </c>
      <c r="D181" s="10" t="s">
        <v>54</v>
      </c>
      <c r="E181" s="12" t="s">
        <v>6</v>
      </c>
    </row>
    <row r="182" ht="15.75" customHeight="1">
      <c r="A182" s="9">
        <v>147.0</v>
      </c>
      <c r="B182" s="10" t="str">
        <f>HYPERLINK("https://www.artsobservasjoner.no/Share/ViewSightingAsMap/2208283/A95B0A67","Eurasian Sparrowhawk")</f>
        <v>Eurasian Sparrowhawk</v>
      </c>
      <c r="C182" s="11" t="str">
        <f>HYPERLINK("https://www.artsobservasjoner.no/Share/ViewSightingAsMap/2208283/A95B0A67","Accipiter nisus")</f>
        <v>Accipiter nisus</v>
      </c>
      <c r="D182" s="10" t="str">
        <f>HYPERLINK("https://www.artsobservasjoner.no/Share/ViewSightingAsMap/2208283/A95B0A67","Spurvehauk")</f>
        <v>Spurvehauk</v>
      </c>
      <c r="E182" s="12" t="s">
        <v>6</v>
      </c>
    </row>
    <row r="183" ht="15.75" customHeight="1">
      <c r="A183" s="9">
        <v>148.0</v>
      </c>
      <c r="B183" s="10" t="str">
        <f>HYPERLINK("https://www.artsobservasjoner.no/Share/ViewSightingAsMap/2208281/8A71F474","Hen Harrier")</f>
        <v>Hen Harrier</v>
      </c>
      <c r="C183" s="20" t="str">
        <f>HYPERLINK("https://www.artsobservasjoner.no/Share/ViewSightingAsMap/2208281/8A71F474","Circus cyaneus")</f>
        <v>Circus cyaneus</v>
      </c>
      <c r="D183" s="10" t="str">
        <f>HYPERLINK("https://www.artsobservasjoner.no/Share/ViewSightingAsMap/2208281/8A71F474","Myrhauk")</f>
        <v>Myrhauk</v>
      </c>
      <c r="E183" s="12" t="s">
        <v>6</v>
      </c>
    </row>
    <row r="184" ht="15.75" customHeight="1">
      <c r="A184" s="9">
        <v>149.0</v>
      </c>
      <c r="B184" s="10" t="str">
        <f>HYPERLINK("https://www.artsobservasjoner.no/Share/ViewSightingAsMap/2208279/01FFC9A5","Pallid Harrier")</f>
        <v>Pallid Harrier</v>
      </c>
      <c r="C184" s="11" t="str">
        <f>HYPERLINK("https://www.artsobservasjoner.no/Share/ViewSightingAsMap/2208279/01FFC9A5","Circus macrourus")</f>
        <v>Circus macrourus</v>
      </c>
      <c r="D184" s="10" t="str">
        <f>HYPERLINK("https://www.artsobservasjoner.no/Share/ViewSightingAsMap/2208279/01FFC9A5","Steppehauk")</f>
        <v>Steppehauk</v>
      </c>
      <c r="E184" s="12" t="s">
        <v>6</v>
      </c>
    </row>
    <row r="185" ht="15.75" customHeight="1">
      <c r="A185" s="9">
        <v>150.0</v>
      </c>
      <c r="B185" s="28" t="s">
        <v>55</v>
      </c>
      <c r="C185" s="29" t="s">
        <v>56</v>
      </c>
      <c r="D185" s="30" t="s">
        <v>57</v>
      </c>
      <c r="E185" s="12" t="s">
        <v>6</v>
      </c>
    </row>
    <row r="186" ht="15.75" customHeight="1">
      <c r="A186" s="9">
        <v>151.0</v>
      </c>
      <c r="B186" s="10" t="str">
        <f>HYPERLINK("https://www.artsobservasjoner.no/Share/ViewSightingAsMap/2208278/0C1C34F4","White-tailed Eagle")</f>
        <v>White-tailed Eagle</v>
      </c>
      <c r="C186" s="11" t="str">
        <f>HYPERLINK("https://www.artsobservasjoner.no/Share/ViewSightingAsMap/2208278/0C1C34F4","Haliaeetus albicilla")</f>
        <v>Haliaeetus albicilla</v>
      </c>
      <c r="D186" s="30" t="s">
        <v>58</v>
      </c>
      <c r="E186" s="12" t="s">
        <v>8</v>
      </c>
    </row>
    <row r="187" ht="15.75" customHeight="1">
      <c r="A187" s="9">
        <v>152.0</v>
      </c>
      <c r="B187" s="10" t="str">
        <f>HYPERLINK("https://www.artsobservasjoner.no/Share/ViewSightingAsMap/2208284/E44C250A","Rough-legged Buzzard")</f>
        <v>Rough-legged Buzzard</v>
      </c>
      <c r="C187" s="11" t="str">
        <f>HYPERLINK("https://www.artsobservasjoner.no/Share/ViewSightingAsMap/2208284/E44C250A","Buteo lagopus")</f>
        <v>Buteo lagopus</v>
      </c>
      <c r="D187" s="10" t="str">
        <f>HYPERLINK("https://www.artsobservasjoner.no/Share/ViewSightingAsMap/2208284/E44C250A","Fjellvåk")</f>
        <v>Fjellvåk</v>
      </c>
      <c r="E187" s="12" t="s">
        <v>6</v>
      </c>
    </row>
    <row r="188" ht="15.75" customHeight="1">
      <c r="A188" s="9">
        <v>153.0</v>
      </c>
      <c r="B188" s="19" t="s">
        <v>59</v>
      </c>
      <c r="C188" s="31" t="s">
        <v>60</v>
      </c>
      <c r="D188" s="19" t="s">
        <v>61</v>
      </c>
      <c r="E188" s="12" t="s">
        <v>6</v>
      </c>
    </row>
    <row r="189" ht="15.75" customHeight="1">
      <c r="A189" s="17"/>
      <c r="B189" s="14"/>
      <c r="C189" s="14"/>
      <c r="D189" s="14"/>
      <c r="E189" s="14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</row>
    <row r="190" ht="15.75" customHeight="1">
      <c r="A190" s="17"/>
      <c r="B190" s="23" t="s">
        <v>62</v>
      </c>
      <c r="C190" s="24"/>
      <c r="D190" s="24"/>
      <c r="E190" s="25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</row>
    <row r="191" ht="15.75" customHeight="1">
      <c r="A191" s="9">
        <v>154.0</v>
      </c>
      <c r="B191" s="10" t="str">
        <f>HYPERLINK("https://www.artsobservasjoner.no/Share/ViewSightingAsMap/2208396/6425F6C3","Long-eared Owl")</f>
        <v>Long-eared Owl</v>
      </c>
      <c r="C191" s="11" t="str">
        <f>HYPERLINK("https://www.artsobservasjoner.no/Share/ViewSightingAsMap/2208396/6425F6C3","Asio otus")</f>
        <v>Asio otus</v>
      </c>
      <c r="D191" s="10" t="str">
        <f>HYPERLINK("https://www.artsobservasjoner.no/Share/ViewSightingAsMap/2208396/6425F6C3","Hornugle")</f>
        <v>Hornugle</v>
      </c>
      <c r="E191" s="12" t="s">
        <v>8</v>
      </c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</row>
    <row r="192" ht="15.75" customHeight="1">
      <c r="A192" s="9">
        <v>155.0</v>
      </c>
      <c r="B192" s="10" t="str">
        <f>HYPERLINK("https://www.artsobservasjoner.no/Share/ViewSightingAsMap/2208397/F5B0346A","Short-eared Owl")</f>
        <v>Short-eared Owl</v>
      </c>
      <c r="C192" s="20" t="str">
        <f>HYPERLINK("https://www.artsobservasjoner.no/Share/ViewSightingAsMap/2208397/F5B0346A","Asio flammeus")</f>
        <v>Asio flammeus</v>
      </c>
      <c r="D192" s="10" t="str">
        <f>HYPERLINK("https://www.artsobservasjoner.no/Share/ViewSightingAsMap/2208397/F5B0346A","Jordugle")</f>
        <v>Jordugle</v>
      </c>
      <c r="E192" s="12" t="s">
        <v>8</v>
      </c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</row>
    <row r="193" ht="15.75" customHeight="1">
      <c r="A193" s="9">
        <v>156.0</v>
      </c>
      <c r="B193" s="32" t="str">
        <f>HYPERLINK("http://svalbardbirds.weebly.com/snowy-owl.html","Snowy Owl")</f>
        <v>Snowy Owl</v>
      </c>
      <c r="C193" s="33" t="str">
        <f>HYPERLINK("http://svalbardbirds.weebly.com/snowy-owl.html","Bubo scandiacus")</f>
        <v>Bubo scandiacus</v>
      </c>
      <c r="D193" s="32" t="str">
        <f>HYPERLINK("http://svalbardbirds.weebly.com/snoslashugle.html","Snøugle")</f>
        <v>Snøugle</v>
      </c>
      <c r="E193" s="14" t="s">
        <v>18</v>
      </c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</row>
    <row r="194" ht="15.75" customHeight="1">
      <c r="A194" s="17"/>
      <c r="B194" s="14"/>
      <c r="C194" s="14"/>
      <c r="D194" s="14"/>
      <c r="E194" s="14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</row>
    <row r="195" ht="15.75" customHeight="1">
      <c r="A195" s="17"/>
      <c r="B195" s="27" t="s">
        <v>63</v>
      </c>
      <c r="C195" s="24"/>
      <c r="D195" s="24"/>
      <c r="E195" s="25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</row>
    <row r="196" ht="15.75" customHeight="1">
      <c r="A196" s="9">
        <v>157.0</v>
      </c>
      <c r="B196" s="10" t="str">
        <f>HYPERLINK("https://www.artsobservasjoner.no/Share/ViewSightingAsMap/2208399/FD89EBC5","Eurasian Hoopoe")</f>
        <v>Eurasian Hoopoe</v>
      </c>
      <c r="C196" s="11" t="str">
        <f>HYPERLINK("https://www.artsobservasjoner.no/Share/ViewSightingAsMap/2208399/FD89EBC5","Upupa epops")</f>
        <v>Upupa epops</v>
      </c>
      <c r="D196" s="10" t="str">
        <f>HYPERLINK("https://www.artsobservasjoner.no/Share/ViewSightingAsMap/2208399/FD89EBC5","Hærfugl")</f>
        <v>Hærfugl</v>
      </c>
      <c r="E196" s="12" t="s">
        <v>6</v>
      </c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</row>
    <row r="197" ht="15.75" customHeight="1">
      <c r="A197" s="17"/>
      <c r="B197" s="14"/>
      <c r="C197" s="14"/>
      <c r="D197" s="14"/>
      <c r="E197" s="14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</row>
    <row r="198" ht="15.75" customHeight="1">
      <c r="A198" s="17"/>
      <c r="B198" s="23" t="s">
        <v>64</v>
      </c>
      <c r="C198" s="24"/>
      <c r="D198" s="24"/>
      <c r="E198" s="25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</row>
    <row r="199" ht="15.75" customHeight="1">
      <c r="A199" s="9">
        <v>158.0</v>
      </c>
      <c r="B199" s="10" t="s">
        <v>65</v>
      </c>
      <c r="C199" s="33" t="s">
        <v>66</v>
      </c>
      <c r="D199" s="10" t="s">
        <v>67</v>
      </c>
      <c r="E199" s="12" t="s">
        <v>6</v>
      </c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</row>
    <row r="200" ht="15.75" customHeight="1">
      <c r="A200" s="17"/>
      <c r="B200" s="14"/>
      <c r="C200" s="14"/>
      <c r="D200" s="14"/>
      <c r="E200" s="14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</row>
    <row r="201" ht="15.75" customHeight="1">
      <c r="A201" s="17"/>
      <c r="B201" s="27" t="s">
        <v>68</v>
      </c>
      <c r="C201" s="24"/>
      <c r="D201" s="24"/>
      <c r="E201" s="25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</row>
    <row r="202" ht="15.75" customHeight="1">
      <c r="A202" s="9">
        <v>159.0</v>
      </c>
      <c r="B202" s="10" t="str">
        <f>HYPERLINK("https://www.artsobservasjoner.no/Share/ViewSightingAsMap/2208286/D3E0451E","Lesser Kestrel")</f>
        <v>Lesser Kestrel</v>
      </c>
      <c r="C202" s="11" t="str">
        <f>HYPERLINK("https://www.artsobservasjoner.no/Share/ViewSightingAsMap/2208286/D3E0451E","Falco naumanni")</f>
        <v>Falco naumanni</v>
      </c>
      <c r="D202" s="10" t="str">
        <f>HYPERLINK("https://www.artsobservasjoner.no/Share/ViewSightingAsMap/2208286/D3E0451E","Rødfalk")</f>
        <v>Rødfalk</v>
      </c>
      <c r="E202" s="12" t="s">
        <v>47</v>
      </c>
    </row>
    <row r="203" ht="15.75" customHeight="1">
      <c r="A203" s="9">
        <v>160.0</v>
      </c>
      <c r="B203" s="10" t="str">
        <f>HYPERLINK("https://www.artsobservasjoner.no/Share/ViewSightingAsMap/2208287/6775D629","Common Kestrel")</f>
        <v>Common Kestrel</v>
      </c>
      <c r="C203" s="20" t="str">
        <f>HYPERLINK("https://www.artsobservasjoner.no/Share/ViewSightingAsMap/2208287/6775D629","Falco tinnunculus")</f>
        <v>Falco tinnunculus</v>
      </c>
      <c r="D203" s="10" t="str">
        <f>HYPERLINK("https://www.artsobservasjoner.no/Share/ViewSightingAsMap/2208287/6775D629","Tårnfalk")</f>
        <v>Tårnfalk</v>
      </c>
      <c r="E203" s="12" t="s">
        <v>6</v>
      </c>
    </row>
    <row r="204" ht="15.75" customHeight="1">
      <c r="A204" s="9">
        <v>161.0</v>
      </c>
      <c r="B204" s="10" t="str">
        <f>HYPERLINK("https://www.artsobservasjoner.no/Share/ViewSightingAsMap/2208288/343FEDF8","Merlin")</f>
        <v>Merlin</v>
      </c>
      <c r="C204" s="11" t="str">
        <f>HYPERLINK("https://www.artsobservasjoner.no/Share/ViewSightingAsMap/2208288/343FEDF8","Falco columbarius")</f>
        <v>Falco columbarius</v>
      </c>
      <c r="D204" s="10" t="str">
        <f>HYPERLINK("https://www.artsobservasjoner.no/Share/ViewSightingAsMap/2208288/343FEDF8","Dvergfalk")</f>
        <v>Dvergfalk</v>
      </c>
      <c r="E204" s="12" t="s">
        <v>8</v>
      </c>
    </row>
    <row r="205" ht="15.75" customHeight="1">
      <c r="A205" s="9">
        <v>162.0</v>
      </c>
      <c r="B205" s="19" t="s">
        <v>69</v>
      </c>
      <c r="C205" s="11" t="str">
        <f>HYPERLINK("http://svalbardbirds.weebly.com/gyrfalcon.html","Falco rusticolus")</f>
        <v>Falco rusticolus</v>
      </c>
      <c r="D205" s="10" t="str">
        <f>HYPERLINK("http://svalbardbirds.weebly.com/jaktfalk.html","Jaktfalk")</f>
        <v>Jaktfalk</v>
      </c>
      <c r="E205" s="12" t="s">
        <v>11</v>
      </c>
    </row>
    <row r="206" ht="15.75" customHeight="1">
      <c r="A206" s="9">
        <v>163.0</v>
      </c>
      <c r="B206" s="32" t="str">
        <f>HYPERLINK("https://www.artsobservasjoner.no/Share/ViewSightingAsMap/2208289/2F7D9E32","Peregrine Falcon")</f>
        <v>Peregrine Falcon</v>
      </c>
      <c r="C206" s="33" t="str">
        <f>HYPERLINK("https://www.artsobservasjoner.no/Share/ViewSightingAsMap/2208289/2F7D9E32","Falco peregrinus")</f>
        <v>Falco peregrinus</v>
      </c>
      <c r="D206" s="32" t="str">
        <f>HYPERLINK("https://www.artsobservasjoner.no/Share/ViewSightingAsMap/2208289/2F7D9E32","Vandrefalk")</f>
        <v>Vandrefalk</v>
      </c>
      <c r="E206" s="12" t="s">
        <v>6</v>
      </c>
    </row>
    <row r="207" ht="15.75" customHeight="1">
      <c r="A207" s="17"/>
      <c r="B207" s="12"/>
      <c r="C207" s="12"/>
      <c r="D207" s="12"/>
      <c r="E207" s="12"/>
    </row>
    <row r="208" ht="15.75" customHeight="1">
      <c r="A208" s="17"/>
      <c r="B208" s="23" t="s">
        <v>70</v>
      </c>
      <c r="C208" s="24"/>
      <c r="D208" s="24"/>
      <c r="E208" s="25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</row>
    <row r="209" ht="15.75" customHeight="1">
      <c r="A209" s="34">
        <v>164.0</v>
      </c>
      <c r="B209" s="10" t="str">
        <f>HYPERLINK("https://www.artsobservasjoner.no/Share/ViewSightingAsMap/2208565/CFBF6714","Red-backed Shrike")</f>
        <v>Red-backed Shrike</v>
      </c>
      <c r="C209" s="11" t="str">
        <f>HYPERLINK("https://www.artsobservasjoner.no/Share/ViewSightingAsMap/2208565/CFBF6714","Lanius collurio")</f>
        <v>Lanius collurio</v>
      </c>
      <c r="D209" s="10" t="str">
        <f>HYPERLINK("https://www.artsobservasjoner.no/Share/ViewSightingAsMap/2208565/CFBF6714","Tornskate")</f>
        <v>Tornskate</v>
      </c>
      <c r="E209" s="12" t="s">
        <v>6</v>
      </c>
    </row>
    <row r="210" ht="15.75" customHeight="1">
      <c r="A210" s="34">
        <v>165.0</v>
      </c>
      <c r="B210" s="10" t="str">
        <f>HYPERLINK("https://www.artsobservasjoner.no/Share/ViewSightingAsMap/2208567/534FD4C0","Great Grey Shrike")</f>
        <v>Great Grey Shrike</v>
      </c>
      <c r="C210" s="11" t="str">
        <f>HYPERLINK("https://www.artsobservasjoner.no/Share/ViewSightingAsMap/2208567/534FD4C0","Lanius excubitor")</f>
        <v>Lanius excubitor</v>
      </c>
      <c r="D210" s="10" t="str">
        <f>HYPERLINK("https://www.artsobservasjoner.no/Share/ViewSightingAsMap/2208567/534FD4C0","Varsler")</f>
        <v>Varsler</v>
      </c>
      <c r="E210" s="12" t="s">
        <v>6</v>
      </c>
    </row>
    <row r="211" ht="15.75" customHeight="1">
      <c r="A211" s="34">
        <v>166.0</v>
      </c>
      <c r="B211" s="19" t="s">
        <v>71</v>
      </c>
      <c r="C211" s="16" t="s">
        <v>72</v>
      </c>
      <c r="D211" s="19" t="s">
        <v>73</v>
      </c>
      <c r="E211" s="12" t="s">
        <v>6</v>
      </c>
    </row>
    <row r="212" ht="15.75" customHeight="1">
      <c r="A212" s="34">
        <v>167.0</v>
      </c>
      <c r="B212" s="10" t="str">
        <f>HYPERLINK("https://www.artsobservasjoner.no/Share/ViewSightingAsMap/2208568/6523AD7A","Eurasian Magpie")</f>
        <v>Eurasian Magpie</v>
      </c>
      <c r="C212" s="11" t="str">
        <f>HYPERLINK("https://www.artsobservasjoner.no/Share/ViewSightingAsMap/2208568/6523AD7A","Pica pica")</f>
        <v>Pica pica</v>
      </c>
      <c r="D212" s="10" t="str">
        <f>HYPERLINK("https://www.artsobservasjoner.no/Share/ViewSightingAsMap/2208568/6523AD7A","Skjære")</f>
        <v>Skjære</v>
      </c>
      <c r="E212" s="12" t="s">
        <v>6</v>
      </c>
    </row>
    <row r="213" ht="15.75" customHeight="1">
      <c r="A213" s="34">
        <v>168.0</v>
      </c>
      <c r="B213" s="10" t="str">
        <f>HYPERLINK("https://www.artsobservasjoner.no/Share/ViewSightingAsMap/2208569/D4474097","Western Jackdaw")</f>
        <v>Western Jackdaw</v>
      </c>
      <c r="C213" s="11" t="str">
        <f>HYPERLINK("https://www.artsobservasjoner.no/Share/ViewSightingAsMap/2208569/D4474097","Coloeus monedula")</f>
        <v>Coloeus monedula</v>
      </c>
      <c r="D213" s="10" t="str">
        <f>HYPERLINK("https://www.artsobservasjoner.no/Share/ViewSightingAsMap/2208569/D4474097","Kaie")</f>
        <v>Kaie</v>
      </c>
      <c r="E213" s="12" t="s">
        <v>6</v>
      </c>
    </row>
    <row r="214" ht="15.75" customHeight="1">
      <c r="A214" s="34">
        <v>169.0</v>
      </c>
      <c r="B214" s="10" t="str">
        <f>HYPERLINK("https://www.artsobservasjoner.no/Share/ViewSightingAsMap/2208570/72D3A17A","Rook")</f>
        <v>Rook</v>
      </c>
      <c r="C214" s="11" t="str">
        <f>HYPERLINK("https://www.artsobservasjoner.no/Share/ViewSightingAsMap/2208570/72D3A17A","Corvus frugilegus")</f>
        <v>Corvus frugilegus</v>
      </c>
      <c r="D214" s="10" t="str">
        <f>HYPERLINK("https://www.artsobservasjoner.no/Share/ViewSightingAsMap/2208570/72D3A17A","Kornkråke")</f>
        <v>Kornkråke</v>
      </c>
      <c r="E214" s="12" t="s">
        <v>6</v>
      </c>
    </row>
    <row r="215" ht="15.75" customHeight="1">
      <c r="A215" s="34">
        <v>170.0</v>
      </c>
      <c r="B215" s="10" t="str">
        <f>HYPERLINK("https://www.artsobservasjoner.no/Share/ViewSightingAsMap/2208572/A2A7299F","Hooded Crow")</f>
        <v>Hooded Crow</v>
      </c>
      <c r="C215" s="11" t="str">
        <f>HYPERLINK("https://www.artsobservasjoner.no/Share/ViewSightingAsMap/2208572/A2A7299F","Corvus cornix")</f>
        <v>Corvus cornix</v>
      </c>
      <c r="D215" s="10" t="str">
        <f>HYPERLINK("https://www.artsobservasjoner.no/Share/ViewSightingAsMap/2208572/A2A7299F","Kråke")</f>
        <v>Kråke</v>
      </c>
      <c r="E215" s="12" t="s">
        <v>74</v>
      </c>
    </row>
    <row r="216" ht="15.75" customHeight="1">
      <c r="A216" s="34">
        <v>171.0</v>
      </c>
      <c r="B216" s="10" t="str">
        <f>HYPERLINK("https://www.artsobservasjoner.no/Share/ViewSightingAsMap/2208574/9062F42A","Northern Raven")</f>
        <v>Northern Raven</v>
      </c>
      <c r="C216" s="11" t="str">
        <f>HYPERLINK("https://www.artsobservasjoner.no/Share/ViewSightingAsMap/2208574/9062F42A","Corvus corax")</f>
        <v>Corvus corax</v>
      </c>
      <c r="D216" s="10" t="str">
        <f>HYPERLINK("https://www.artsobservasjoner.no/Share/ViewSightingAsMap/2208574/9062F42A","Ravn")</f>
        <v>Ravn</v>
      </c>
      <c r="E216" s="12" t="s">
        <v>8</v>
      </c>
    </row>
    <row r="217" ht="15.75" customHeight="1">
      <c r="A217" s="34">
        <v>172.0</v>
      </c>
      <c r="B217" s="10" t="str">
        <f>HYPERLINK("http://svalbardbirds.weebly.com/bohemian-waxwing.html","Bohemian Waxwing")</f>
        <v>Bohemian Waxwing</v>
      </c>
      <c r="C217" s="11" t="str">
        <f>HYPERLINK("http://svalbardbirds.weebly.com/bohemian-waxwing.html","Bombycilla garrulus")</f>
        <v>Bombycilla garrulus</v>
      </c>
      <c r="D217" s="10" t="str">
        <f>HYPERLINK("http://svalbardbirds.weebly.com/sidensvans.html","Sidensvans")</f>
        <v>Sidensvans</v>
      </c>
      <c r="E217" s="12" t="s">
        <v>18</v>
      </c>
    </row>
    <row r="218" ht="15.75" customHeight="1">
      <c r="A218" s="34">
        <v>173.0</v>
      </c>
      <c r="B218" s="10" t="str">
        <f>HYPERLINK("https://www.artsobservasjoner.no/Share/ViewSightingAsMap/2208563/0B3FCCD6","Great Tit")</f>
        <v>Great Tit</v>
      </c>
      <c r="C218" s="11" t="str">
        <f>HYPERLINK("https://www.artsobservasjoner.no/Share/ViewSightingAsMap/2208563/0B3FCCD6","Parus major")</f>
        <v>Parus major</v>
      </c>
      <c r="D218" s="10" t="str">
        <f>HYPERLINK("https://www.artsobservasjoner.no/Share/ViewSightingAsMap/2208563/0B3FCCD6","Kjøttmeis")</f>
        <v>Kjøttmeis</v>
      </c>
      <c r="E218" s="12" t="s">
        <v>8</v>
      </c>
    </row>
    <row r="219" ht="15.75" customHeight="1">
      <c r="A219" s="34">
        <v>174.0</v>
      </c>
      <c r="B219" s="10" t="str">
        <f>HYPERLINK("https://www.artsobservasjoner.no/Share/ViewSightingAsMap/2208401/56F6F410","European Skylark")</f>
        <v>European Skylark</v>
      </c>
      <c r="C219" s="11" t="str">
        <f>HYPERLINK("https://www.artsobservasjoner.no/Share/ViewSightingAsMap/2208401/56F6F410","Alauda arvensis")</f>
        <v>Alauda arvensis</v>
      </c>
      <c r="D219" s="10" t="str">
        <f>HYPERLINK("https://www.artsobservasjoner.no/Share/ViewSightingAsMap/2208401/56F6F410","Sanglerke")</f>
        <v>Sanglerke</v>
      </c>
      <c r="E219" s="12" t="s">
        <v>6</v>
      </c>
    </row>
    <row r="220" ht="15.75" customHeight="1">
      <c r="A220" s="34">
        <v>175.0</v>
      </c>
      <c r="B220" s="10" t="str">
        <f>HYPERLINK("https://www.artsobservasjoner.no/Share/ViewSightingAsMap/2208403/6FD7E9A7","Horned Lark")</f>
        <v>Horned Lark</v>
      </c>
      <c r="C220" s="11" t="str">
        <f>HYPERLINK("https://www.artsobservasjoner.no/Share/ViewSightingAsMap/2208403/6FD7E9A7","Eremophila alpestris")</f>
        <v>Eremophila alpestris</v>
      </c>
      <c r="D220" s="10" t="str">
        <f>HYPERLINK("https://www.artsobservasjoner.no/Share/ViewSightingAsMap/2208403/6FD7E9A7","Fjellerke")</f>
        <v>Fjellerke</v>
      </c>
      <c r="E220" s="12" t="s">
        <v>6</v>
      </c>
    </row>
    <row r="221" ht="15.75" customHeight="1">
      <c r="A221" s="34">
        <v>176.0</v>
      </c>
      <c r="B221" s="10" t="str">
        <f>HYPERLINK("https://www.artsobservasjoner.no/Share/ViewSightingAsMap/2208404/D8EBCB94","Sand Martin")</f>
        <v>Sand Martin</v>
      </c>
      <c r="C221" s="11" t="str">
        <f>HYPERLINK("https://www.artsobservasjoner.no/Share/ViewSightingAsMap/2208404/D8EBCB94","Riparia riparia")</f>
        <v>Riparia riparia</v>
      </c>
      <c r="D221" s="10" t="str">
        <f>HYPERLINK("https://www.artsobservasjoner.no/Share/ViewSightingAsMap/2208404/D8EBCB94","Sandsvale")</f>
        <v>Sandsvale</v>
      </c>
      <c r="E221" s="12" t="s">
        <v>6</v>
      </c>
    </row>
    <row r="222" ht="15.75" customHeight="1">
      <c r="A222" s="34">
        <v>177.0</v>
      </c>
      <c r="B222" s="10" t="str">
        <f>HYPERLINK("http://svalbardbirds.weebly.com/barn-swallow.html","Barn Swallow")</f>
        <v>Barn Swallow</v>
      </c>
      <c r="C222" s="11" t="str">
        <f>HYPERLINK("http://svalbardbirds.weebly.com/barn-swallow.html","Hirundo rustica")</f>
        <v>Hirundo rustica</v>
      </c>
      <c r="D222" s="10" t="str">
        <f>HYPERLINK("http://svalbardbirds.weebly.com/laringvesvale.html","Låvesvale")</f>
        <v>Låvesvale</v>
      </c>
      <c r="E222" s="12" t="s">
        <v>18</v>
      </c>
    </row>
    <row r="223" ht="15.75" customHeight="1">
      <c r="A223" s="34">
        <v>178.0</v>
      </c>
      <c r="B223" s="10" t="str">
        <f>HYPERLINK("https://www.artsobservasjoner.no/Share/ViewSightingAsMap/2208407/AB682D9F","Common House Martin")</f>
        <v>Common House Martin</v>
      </c>
      <c r="C223" s="11" t="str">
        <f>HYPERLINK("https://www.artsobservasjoner.no/Share/ViewSightingAsMap/2208407/AB682D9F","Delichon urbicum")</f>
        <v>Delichon urbicum</v>
      </c>
      <c r="D223" s="10" t="str">
        <f>HYPERLINK("https://www.artsobservasjoner.no/Share/ViewSightingAsMap/2208407/AB682D9F","Taksvale")</f>
        <v>Taksvale</v>
      </c>
      <c r="E223" s="12" t="s">
        <v>75</v>
      </c>
    </row>
    <row r="224" ht="15.75" customHeight="1">
      <c r="A224" s="34">
        <v>179.0</v>
      </c>
      <c r="B224" s="10" t="str">
        <f>HYPERLINK("https://www.artsobservasjoner.no/Share/ViewSightingAsMap/2208555/DFF9D85B","Wood Warbler")</f>
        <v>Wood Warbler</v>
      </c>
      <c r="C224" s="11" t="str">
        <f>HYPERLINK("https://www.artsobservasjoner.no/Share/ViewSightingAsMap/2208555/DFF9D85B","Phylloscopus sibilatrix")</f>
        <v>Phylloscopus sibilatrix</v>
      </c>
      <c r="D224" s="10" t="str">
        <f>HYPERLINK("https://www.artsobservasjoner.no/Share/ViewSightingAsMap/2208555/DFF9D85B","Bøksanger")</f>
        <v>Bøksanger</v>
      </c>
      <c r="E224" s="12" t="s">
        <v>6</v>
      </c>
    </row>
    <row r="225" ht="15.75" customHeight="1">
      <c r="A225" s="34">
        <v>180.0</v>
      </c>
      <c r="B225" s="10" t="str">
        <f>HYPERLINK("https://www.artsobservasjoner.no/Share/ViewSightingAsMap/2208554/84FE1BEA","Yellow-browed Warbler")</f>
        <v>Yellow-browed Warbler</v>
      </c>
      <c r="C225" s="11" t="str">
        <f>HYPERLINK("https://www.artsobservasjoner.no/Share/ViewSightingAsMap/2208554/84FE1BEA","Phylloscopus inornatus")</f>
        <v>Phylloscopus inornatus</v>
      </c>
      <c r="D225" s="10" t="str">
        <f>HYPERLINK("https://www.artsobservasjoner.no/Share/ViewSightingAsMap/2208554/84FE1BEA","Gulbrynsanger")</f>
        <v>Gulbrynsanger</v>
      </c>
      <c r="E225" s="12" t="s">
        <v>6</v>
      </c>
    </row>
    <row r="226" ht="15.75" customHeight="1">
      <c r="A226" s="34">
        <v>181.0</v>
      </c>
      <c r="B226" s="10" t="str">
        <f>HYPERLINK("https://www.artsobservasjoner.no/Share/ViewSightingAsMap/2208557/43370274","Willow Warbler")</f>
        <v>Willow Warbler</v>
      </c>
      <c r="C226" s="11" t="str">
        <f>HYPERLINK("https://www.artsobservasjoner.no/Share/ViewSightingAsMap/2208557/43370274","Phylloscopus trochilus")</f>
        <v>Phylloscopus trochilus</v>
      </c>
      <c r="D226" s="10" t="str">
        <f>HYPERLINK("https://www.artsobservasjoner.no/Share/ViewSightingAsMap/2208557/43370274","Løvsanger")</f>
        <v>Løvsanger</v>
      </c>
      <c r="E226" s="12" t="s">
        <v>8</v>
      </c>
    </row>
    <row r="227" ht="15.75" customHeight="1">
      <c r="A227" s="34">
        <v>182.0</v>
      </c>
      <c r="B227" s="10" t="str">
        <f>HYPERLINK("https://www.artsobservasjoner.no/Share/ViewSightingAsMap/2208556/B752B049","Common Chiffchaff")</f>
        <v>Common Chiffchaff</v>
      </c>
      <c r="C227" s="11" t="str">
        <f>HYPERLINK("https://www.artsobservasjoner.no/Share/ViewSightingAsMap/2208556/B752B049","Phylloscopus collybita")</f>
        <v>Phylloscopus collybita</v>
      </c>
      <c r="D227" s="10" t="str">
        <f>HYPERLINK("https://www.artsobservasjoner.no/Share/ViewSightingAsMap/2208556/B752B049","Gransanger")</f>
        <v>Gransanger</v>
      </c>
      <c r="E227" s="12" t="s">
        <v>8</v>
      </c>
    </row>
    <row r="228" ht="15.75" customHeight="1">
      <c r="A228" s="34">
        <v>183.0</v>
      </c>
      <c r="B228" s="10" t="str">
        <f>HYPERLINK("https://www.artsobservasjoner.no/Share/ViewSightingAsMap/2208539/EB722091","Sedge Warbler")</f>
        <v>Sedge Warbler</v>
      </c>
      <c r="C228" s="11" t="str">
        <f>HYPERLINK("https://www.artsobservasjoner.no/Share/ViewSightingAsMap/2208539/EB722091","Acrocephalus schoenobaenus")</f>
        <v>Acrocephalus schoenobaenus</v>
      </c>
      <c r="D228" s="10" t="str">
        <f>HYPERLINK("https://www.artsobservasjoner.no/Share/ViewSightingAsMap/2208539/EB722091","Sivsanger")</f>
        <v>Sivsanger</v>
      </c>
      <c r="E228" s="12" t="s">
        <v>6</v>
      </c>
    </row>
    <row r="229" ht="15.75" customHeight="1">
      <c r="A229" s="34">
        <v>184.0</v>
      </c>
      <c r="B229" s="10" t="str">
        <f>HYPERLINK("https://www.artsobservasjoner.no/Share/ViewSightingAsMap/2208545/822F6913","Eurasian Reed Warbler")</f>
        <v>Eurasian Reed Warbler</v>
      </c>
      <c r="C229" s="11" t="str">
        <f>HYPERLINK("https://www.artsobservasjoner.no/Share/ViewSightingAsMap/2208545/822F6913","Acrocephalus scirpaceus")</f>
        <v>Acrocephalus scirpaceus</v>
      </c>
      <c r="D229" s="10" t="str">
        <f>HYPERLINK("https://www.artsobservasjoner.no/Share/ViewSightingAsMap/2208545/822F6913","Rørsanger")</f>
        <v>Rørsanger</v>
      </c>
      <c r="E229" s="12" t="s">
        <v>6</v>
      </c>
    </row>
    <row r="230" ht="15.75" customHeight="1">
      <c r="A230" s="34">
        <v>185.0</v>
      </c>
      <c r="B230" s="10" t="str">
        <f>HYPERLINK("https://www.artsobservasjoner.no/Share/ViewSightingAsMap/2208541/2431E761","Marsh Warbler")</f>
        <v>Marsh Warbler</v>
      </c>
      <c r="C230" s="11" t="str">
        <f>HYPERLINK("https://www.artsobservasjoner.no/Share/ViewSightingAsMap/2208541/2431E761","Acrocephalus palustris")</f>
        <v>Acrocephalus palustris</v>
      </c>
      <c r="D230" s="10" t="str">
        <f>HYPERLINK("https://www.artsobservasjoner.no/Share/ViewSightingAsMap/2208541/2431E761","Myrsanger")</f>
        <v>Myrsanger</v>
      </c>
      <c r="E230" s="12" t="s">
        <v>6</v>
      </c>
    </row>
    <row r="231" ht="15.75" customHeight="1">
      <c r="A231" s="34">
        <v>186.0</v>
      </c>
      <c r="B231" s="10" t="str">
        <f>HYPERLINK("https://www.artsobservasjoner.no/Share/ViewSightingAsMap/2208546/42606433","Pallas's Grasshopper Warbler")</f>
        <v>Pallas's Grasshopper Warbler</v>
      </c>
      <c r="C231" s="11" t="str">
        <f>HYPERLINK("https://www.artsobservasjoner.no/Share/ViewSightingAsMap/2208546/42606433","Helopsaltes certhiola")</f>
        <v>Helopsaltes certhiola</v>
      </c>
      <c r="D231" s="10" t="str">
        <f>HYPERLINK("https://www.artsobservasjoner.no/Share/ViewSightingAsMap/2208546/42606433","Starrsanger")</f>
        <v>Starrsanger</v>
      </c>
      <c r="E231" s="12" t="s">
        <v>6</v>
      </c>
    </row>
    <row r="232" ht="15.75" customHeight="1">
      <c r="A232" s="34">
        <v>187.0</v>
      </c>
      <c r="B232" s="10" t="str">
        <f>HYPERLINK("https://www.artsobservasjoner.no/Share/ViewSightingAsMap/2208547/AD20F733","Lanceolated Warbler")</f>
        <v>Lanceolated Warbler</v>
      </c>
      <c r="C232" s="11" t="str">
        <f>HYPERLINK("https://www.artsobservasjoner.no/Share/ViewSightingAsMap/2208547/AD20F733","Locustella lanceolata")</f>
        <v>Locustella lanceolata</v>
      </c>
      <c r="D232" s="10" t="str">
        <f>HYPERLINK("https://www.artsobservasjoner.no/Share/ViewSightingAsMap/2208547/AD20F733","Stripesanger")</f>
        <v>Stripesanger</v>
      </c>
      <c r="E232" s="12" t="s">
        <v>6</v>
      </c>
    </row>
    <row r="233" ht="15.75" customHeight="1">
      <c r="A233" s="34">
        <v>188.0</v>
      </c>
      <c r="B233" s="10" t="str">
        <f>HYPERLINK("https://www.artsobservasjoner.no/Share/ViewSightingAsMap/2208538/F46BE4B4","River Warbler")</f>
        <v>River Warbler</v>
      </c>
      <c r="C233" s="11" t="str">
        <f>HYPERLINK("https://www.artsobservasjoner.no/Share/ViewSightingAsMap/2208538/F46BE4B4","Locustella fluviatilis")</f>
        <v>Locustella fluviatilis</v>
      </c>
      <c r="D233" s="10" t="str">
        <f>HYPERLINK("https://www.artsobservasjoner.no/Share/ViewSightingAsMap/2208538/F46BE4B4","Elvesanger")</f>
        <v>Elvesanger</v>
      </c>
      <c r="E233" s="12" t="s">
        <v>6</v>
      </c>
    </row>
    <row r="234" ht="15.75" customHeight="1">
      <c r="A234" s="34">
        <v>189.0</v>
      </c>
      <c r="B234" s="10" t="str">
        <f>HYPERLINK("https://www.artsobservasjoner.no/Share/ViewSightingAsMap/2208550/34590F02","Eurasian Blackcap")</f>
        <v>Eurasian Blackcap</v>
      </c>
      <c r="C234" s="11" t="str">
        <f>HYPERLINK("https://www.artsobservasjoner.no/Share/ViewSightingAsMap/2208550/34590F02","Sylvia atricapilla")</f>
        <v>Sylvia atricapilla</v>
      </c>
      <c r="D234" s="10" t="str">
        <f>HYPERLINK("https://www.artsobservasjoner.no/Share/ViewSightingAsMap/2208550/34590F02","Munk")</f>
        <v>Munk</v>
      </c>
      <c r="E234" s="12" t="s">
        <v>8</v>
      </c>
    </row>
    <row r="235" ht="15.75" customHeight="1">
      <c r="A235" s="34">
        <v>190.0</v>
      </c>
      <c r="B235" s="10" t="str">
        <f>HYPERLINK("https://www.artsobservasjoner.no/Share/ViewSightingAsMap/2208548/3D35069E","Garden Warbler")</f>
        <v>Garden Warbler</v>
      </c>
      <c r="C235" s="11" t="str">
        <f>HYPERLINK("https://www.artsobservasjoner.no/Share/ViewSightingAsMap/2208548/3D35069E","Sylvia borin")</f>
        <v>Sylvia borin</v>
      </c>
      <c r="D235" s="10" t="str">
        <f>HYPERLINK("https://www.artsobservasjoner.no/Share/ViewSightingAsMap/2208548/3D35069E","Hagesanger")</f>
        <v>Hagesanger</v>
      </c>
      <c r="E235" s="12" t="s">
        <v>8</v>
      </c>
    </row>
    <row r="236" ht="15.75" customHeight="1">
      <c r="A236" s="34">
        <v>191.0</v>
      </c>
      <c r="B236" s="10" t="str">
        <f>HYPERLINK("https://www.artsobservasjoner.no/Share/ViewSightingAsMap/2208553/FC1CCDC8","Lesser Whitethroat")</f>
        <v>Lesser Whitethroat</v>
      </c>
      <c r="C236" s="11" t="str">
        <f>HYPERLINK("https://www.artsobservasjoner.no/Share/ViewSightingAsMap/2208553/FC1CCDC8","Curruca curruca")</f>
        <v>Curruca curruca</v>
      </c>
      <c r="D236" s="10" t="str">
        <f>HYPERLINK("https://www.artsobservasjoner.no/Share/ViewSightingAsMap/2208553/FC1CCDC8","Møller")</f>
        <v>Møller</v>
      </c>
      <c r="E236" s="12" t="s">
        <v>6</v>
      </c>
    </row>
    <row r="237" ht="15.75" customHeight="1">
      <c r="A237" s="34">
        <v>192.0</v>
      </c>
      <c r="B237" s="19" t="s">
        <v>76</v>
      </c>
      <c r="C237" s="16" t="s">
        <v>77</v>
      </c>
      <c r="D237" s="19" t="s">
        <v>78</v>
      </c>
      <c r="E237" s="12" t="s">
        <v>6</v>
      </c>
    </row>
    <row r="238" ht="15.75" customHeight="1">
      <c r="A238" s="34">
        <v>193.0</v>
      </c>
      <c r="B238" s="10" t="str">
        <f>HYPERLINK("https://www.artsobservasjoner.no/Share/ViewSightingAsMap/2208577/E8A9AA58","Common Starling")</f>
        <v>Common Starling</v>
      </c>
      <c r="C238" s="11" t="str">
        <f>HYPERLINK("https://www.artsobservasjoner.no/Share/ViewSightingAsMap/2208577/E8A9AA58","Sturnus vulgaris")</f>
        <v>Sturnus vulgaris</v>
      </c>
      <c r="D238" s="10" t="str">
        <f>HYPERLINK("https://www.artsobservasjoner.no/Share/ViewSightingAsMap/2208577/E8A9AA58","Stær")</f>
        <v>Stær</v>
      </c>
      <c r="E238" s="12" t="s">
        <v>79</v>
      </c>
    </row>
    <row r="239" ht="15.75" customHeight="1">
      <c r="A239" s="34">
        <v>194.0</v>
      </c>
      <c r="B239" s="10" t="str">
        <f>HYPERLINK("http://svalbardbirds.weebly.com/song-trush.html","Song Thrush")</f>
        <v>Song Thrush</v>
      </c>
      <c r="C239" s="11" t="str">
        <f>HYPERLINK("http://svalbardbirds.weebly.com/song-trush.html","Turdus philomelos")</f>
        <v>Turdus philomelos</v>
      </c>
      <c r="D239" s="10" t="str">
        <f>HYPERLINK("http://svalbardbirds.weebly.com/maringltrost.html","Måltrost")</f>
        <v>Måltrost</v>
      </c>
      <c r="E239" s="12" t="s">
        <v>8</v>
      </c>
    </row>
    <row r="240" ht="15.75" customHeight="1">
      <c r="A240" s="34">
        <v>195.0</v>
      </c>
      <c r="B240" s="10" t="str">
        <f>HYPERLINK("http://svalbardbirds.weebly.com/redwing.html","Redwing")</f>
        <v>Redwing</v>
      </c>
      <c r="C240" s="11" t="str">
        <f>HYPERLINK("http://svalbardbirds.weebly.com/redwing.html","Turdus iliacus")</f>
        <v>Turdus iliacus</v>
      </c>
      <c r="D240" s="10" t="str">
        <f>HYPERLINK("http://svalbardbirds.weebly.com/roslashdvingetrost.html","Rødvingetrost")</f>
        <v>Rødvingetrost</v>
      </c>
      <c r="E240" s="12" t="s">
        <v>80</v>
      </c>
    </row>
    <row r="241" ht="15.75" customHeight="1">
      <c r="A241" s="34">
        <v>196.0</v>
      </c>
      <c r="B241" s="10" t="str">
        <f>HYPERLINK("http://svalbardbirds.weebly.com/common-blackbird.html","Common Blackbird")</f>
        <v>Common Blackbird</v>
      </c>
      <c r="C241" s="11" t="str">
        <f>HYPERLINK("http://svalbardbirds.weebly.com/common-blackbird.html","Turdus merula")</f>
        <v>Turdus merula</v>
      </c>
      <c r="D241" s="10" t="str">
        <f>HYPERLINK("http://svalbardbirds.weebly.com/svarttrost.html","Svarttrost")</f>
        <v>Svarttrost</v>
      </c>
      <c r="E241" s="12" t="s">
        <v>18</v>
      </c>
    </row>
    <row r="242" ht="15.75" customHeight="1">
      <c r="A242" s="34">
        <v>197.0</v>
      </c>
      <c r="B242" s="10" t="str">
        <f>HYPERLINK("http://svalbardbirds.weebly.com/fieldfare.html","Fieldfare")</f>
        <v>Fieldfare</v>
      </c>
      <c r="C242" s="11" t="str">
        <f>HYPERLINK("http://svalbardbirds.weebly.com/fieldfare.html","Turdus pilaris")</f>
        <v>Turdus pilaris</v>
      </c>
      <c r="D242" s="10" t="str">
        <f>HYPERLINK("http://svalbardbirds.weebly.com/graringtrost.html","Gråtrost")</f>
        <v>Gråtrost</v>
      </c>
      <c r="E242" s="12" t="s">
        <v>18</v>
      </c>
    </row>
    <row r="243" ht="15.75" customHeight="1">
      <c r="A243" s="34">
        <v>198.0</v>
      </c>
      <c r="B243" s="10" t="str">
        <f>HYPERLINK("https://www.artsobservasjoner.no/Share/ViewSightingAsMap/2208449/4510E077","Ring Ouzel")</f>
        <v>Ring Ouzel</v>
      </c>
      <c r="C243" s="11" t="str">
        <f>HYPERLINK("https://www.artsobservasjoner.no/Share/ViewSightingAsMap/2208449/4510E077","Turdus torquatus")</f>
        <v>Turdus torquatus</v>
      </c>
      <c r="D243" s="10" t="str">
        <f>HYPERLINK("https://www.artsobservasjoner.no/Share/ViewSightingAsMap/2208449/4510E077","Ringtrost")</f>
        <v>Ringtrost</v>
      </c>
      <c r="E243" s="12" t="s">
        <v>6</v>
      </c>
    </row>
    <row r="244" ht="15.75" customHeight="1">
      <c r="A244" s="9">
        <v>199.0</v>
      </c>
      <c r="B244" s="35" t="s">
        <v>81</v>
      </c>
      <c r="C244" s="29" t="s">
        <v>82</v>
      </c>
      <c r="D244" s="30" t="s">
        <v>83</v>
      </c>
      <c r="E244" s="12" t="s">
        <v>6</v>
      </c>
    </row>
    <row r="245" ht="15.75" customHeight="1">
      <c r="A245" s="9">
        <v>200.0</v>
      </c>
      <c r="B245" s="10" t="str">
        <f>HYPERLINK("https://www.artsobservasjoner.no/Share/ViewSightingAsMap/2208559/2F264BBD","Spotted Flycatcher")</f>
        <v>Spotted Flycatcher</v>
      </c>
      <c r="C245" s="11" t="str">
        <f>HYPERLINK("https://www.artsobservasjoner.no/Share/ViewSightingAsMap/2208559/2F264BBD","Muscicapa striata")</f>
        <v>Muscicapa striata</v>
      </c>
      <c r="D245" s="10" t="str">
        <f>HYPERLINK("https://www.artsobservasjoner.no/Share/ViewSightingAsMap/2208559/2F264BBD","Gråfluesnapper")</f>
        <v>Gråfluesnapper</v>
      </c>
      <c r="E245" s="12" t="s">
        <v>6</v>
      </c>
    </row>
    <row r="246" ht="15.75" customHeight="1">
      <c r="A246" s="9">
        <v>201.0</v>
      </c>
      <c r="B246" s="10" t="str">
        <f>HYPERLINK("https://www.artsobservasjoner.no/Share/ViewSightingAsMap/2208437/E9077B96","European Robin")</f>
        <v>European Robin</v>
      </c>
      <c r="C246" s="11" t="str">
        <f>HYPERLINK("https://www.artsobservasjoner.no/Share/ViewSightingAsMap/2208437/E9077B96","Erithacus rubecula")</f>
        <v>Erithacus rubecula</v>
      </c>
      <c r="D246" s="10" t="str">
        <f>HYPERLINK("https://www.artsobservasjoner.no/Share/ViewSightingAsMap/2208437/E9077B96","Rødstrupe")</f>
        <v>Rødstrupe</v>
      </c>
      <c r="E246" s="12" t="s">
        <v>8</v>
      </c>
    </row>
    <row r="247" ht="15.75" customHeight="1">
      <c r="A247" s="9">
        <v>202.0</v>
      </c>
      <c r="B247" s="10" t="str">
        <f>HYPERLINK("https://www.artsobservasjoner.no/Share/ViewSightingAsMap/2208438/94D538FC","Bluethroat")</f>
        <v>Bluethroat</v>
      </c>
      <c r="C247" s="11" t="str">
        <f>HYPERLINK("https://www.artsobservasjoner.no/Share/ViewSightingAsMap/2208438/94D538FC","Luscinia svecica")</f>
        <v>Luscinia svecica</v>
      </c>
      <c r="D247" s="10" t="str">
        <f>HYPERLINK("https://www.artsobservasjoner.no/Share/ViewSightingAsMap/2208438/94D538FC","Blåstrupe")</f>
        <v>Blåstrupe</v>
      </c>
      <c r="E247" s="12" t="s">
        <v>6</v>
      </c>
    </row>
    <row r="248" ht="15.75" customHeight="1">
      <c r="A248" s="9">
        <v>203.0</v>
      </c>
      <c r="B248" s="10" t="str">
        <f>HYPERLINK("https://www.artsobservasjoner.no/Share/ViewSightingAsMap/2208561/265A56DC","Red-breasted Flycatcher")</f>
        <v>Red-breasted Flycatcher</v>
      </c>
      <c r="C248" s="11" t="str">
        <f>HYPERLINK("https://www.artsobservasjoner.no/Share/ViewSightingAsMap/2208561/265A56DC","Ficedula parva")</f>
        <v>Ficedula parva</v>
      </c>
      <c r="D248" s="10" t="str">
        <f>HYPERLINK("https://www.artsobservasjoner.no/Share/ViewSightingAsMap/2208561/265A56DC","Dvergfluesnapper")</f>
        <v>Dvergfluesnapper</v>
      </c>
      <c r="E248" s="12" t="s">
        <v>6</v>
      </c>
    </row>
    <row r="249" ht="15.75" customHeight="1">
      <c r="A249" s="9">
        <v>204.0</v>
      </c>
      <c r="B249" s="10" t="str">
        <f>HYPERLINK("https://www.artsobservasjoner.no/Share/ViewSightingAsMap/2208562/B00160EB","European Pied Flycatcher")</f>
        <v>European Pied Flycatcher</v>
      </c>
      <c r="C249" s="11" t="str">
        <f>HYPERLINK("https://www.artsobservasjoner.no/Share/ViewSightingAsMap/2208562/B00160EB","Ficedula hypoleuca")</f>
        <v>Ficedula hypoleuca</v>
      </c>
      <c r="D249" s="10" t="str">
        <f>HYPERLINK("https://www.artsobservasjoner.no/Share/ViewSightingAsMap/2208562/B00160EB","Svarthvit fluesnapper")</f>
        <v>Svarthvit fluesnapper</v>
      </c>
      <c r="E249" s="12" t="s">
        <v>8</v>
      </c>
    </row>
    <row r="250" ht="15.75" customHeight="1">
      <c r="A250" s="9">
        <v>205.0</v>
      </c>
      <c r="B250" s="10" t="str">
        <f>HYPERLINK("https://www.artsobservasjoner.no/Share/ViewSightingAsMap/2208440/5BB777CE","Black Redstart")</f>
        <v>Black Redstart</v>
      </c>
      <c r="C250" s="11" t="str">
        <f>HYPERLINK("https://www.artsobservasjoner.no/Share/ViewSightingAsMap/2208440/5BB777CE","Phoenicurus ochruros")</f>
        <v>Phoenicurus ochruros</v>
      </c>
      <c r="D250" s="10" t="str">
        <f>HYPERLINK("https://www.artsobservasjoner.no/Share/ViewSightingAsMap/2208440/5BB777CE","Svartrødstjert")</f>
        <v>Svartrødstjert</v>
      </c>
      <c r="E250" s="12" t="s">
        <v>6</v>
      </c>
    </row>
    <row r="251" ht="15.75" customHeight="1">
      <c r="A251" s="9">
        <v>206.0</v>
      </c>
      <c r="B251" s="10" t="str">
        <f>HYPERLINK("https://www.artsobservasjoner.no/Share/ViewSightingAsMap/2208443/D967A53F","Common Redstart")</f>
        <v>Common Redstart</v>
      </c>
      <c r="C251" s="11" t="str">
        <f>HYPERLINK("https://www.artsobservasjoner.no/Share/ViewSightingAsMap/2208443/D967A53F","Phoenicurus phoenicurus")</f>
        <v>Phoenicurus phoenicurus</v>
      </c>
      <c r="D251" s="10" t="str">
        <f>HYPERLINK("https://www.artsobservasjoner.no/Share/ViewSightingAsMap/2208443/D967A53F","Rødstjert")</f>
        <v>Rødstjert</v>
      </c>
      <c r="E251" s="15" t="s">
        <v>6</v>
      </c>
    </row>
    <row r="252" ht="15.75" customHeight="1">
      <c r="A252" s="9">
        <v>207.0</v>
      </c>
      <c r="B252" s="10" t="str">
        <f>HYPERLINK("https://www.artsobservasjoner.no/Share/ViewSightingAsMap/2208444/FE10117B","Whinchat")</f>
        <v>Whinchat</v>
      </c>
      <c r="C252" s="11" t="str">
        <f>HYPERLINK("https://www.artsobservasjoner.no/Share/ViewSightingAsMap/2208444/FE10117B","Saxicola rubetra")</f>
        <v>Saxicola rubetra</v>
      </c>
      <c r="D252" s="10" t="str">
        <f>HYPERLINK("https://www.artsobservasjoner.no/Share/ViewSightingAsMap/2208444/FE10117B","Buskskvett")</f>
        <v>Buskskvett</v>
      </c>
      <c r="E252" s="12" t="s">
        <v>8</v>
      </c>
    </row>
    <row r="253" ht="15.75" customHeight="1">
      <c r="A253" s="34">
        <v>208.0</v>
      </c>
      <c r="B253" s="10" t="str">
        <f>HYPERLINK("http://svalbardbirds.weebly.com/northern-wheatear.html","Northern Wheatear")</f>
        <v>Northern Wheatear</v>
      </c>
      <c r="C253" s="11" t="str">
        <f>HYPERLINK("http://svalbardbirds.weebly.com/northern-wheatear.html","Oenanthe oenanthe")</f>
        <v>Oenanthe oenanthe</v>
      </c>
      <c r="D253" s="10" t="str">
        <f>HYPERLINK("http://svalbardbirds.weebly.com/steinskvett.html","Steinskvett")</f>
        <v>Steinskvett</v>
      </c>
      <c r="E253" s="12" t="s">
        <v>84</v>
      </c>
    </row>
    <row r="254" ht="15.75" customHeight="1">
      <c r="A254" s="36"/>
      <c r="B254" s="12"/>
      <c r="C254" s="11" t="str">
        <f>HYPERLINK("https://www.artsobservasjoner.no/Share/ViewSightingAsMap/2208638/D9A0E080","Oenanthe oenanthe leucorhoa")</f>
        <v>Oenanthe oenanthe leucorhoa</v>
      </c>
      <c r="D254" s="12"/>
      <c r="E254" s="12" t="s">
        <v>11</v>
      </c>
    </row>
    <row r="255" ht="15.75" customHeight="1">
      <c r="A255" s="34">
        <v>209.0</v>
      </c>
      <c r="B255" s="10" t="str">
        <f>HYPERLINK("https://www.artsobservasjoner.no/Share/ViewSightingAsMap/2208427/7CC1D539","White-throated Dipper")</f>
        <v>White-throated Dipper</v>
      </c>
      <c r="C255" s="11" t="str">
        <f>HYPERLINK("https://www.artsobservasjoner.no/Share/ViewSightingAsMap/2208427/7CC1D539","Cinclus cinclus")</f>
        <v>Cinclus cinclus</v>
      </c>
      <c r="D255" s="10" t="str">
        <f>HYPERLINK("https://www.artsobservasjoner.no/Share/ViewSightingAsMap/2208427/7CC1D539","Fossekall")</f>
        <v>Fossekall</v>
      </c>
      <c r="E255" s="12" t="s">
        <v>6</v>
      </c>
    </row>
    <row r="256" ht="15.75" customHeight="1">
      <c r="A256" s="34">
        <v>210.0</v>
      </c>
      <c r="B256" s="10" t="str">
        <f>HYPERLINK("https://www.artsobservasjoner.no/Share/ViewSightingAsMap/2208584/706DB5F2","Eurasian Tree Sparow")</f>
        <v>Eurasian Tree Sparow</v>
      </c>
      <c r="C256" s="11" t="str">
        <f>HYPERLINK("https://www.artsobservasjoner.no/Share/ViewSightingAsMap/2208584/706DB5F2","Passer montanus")</f>
        <v>Passer montanus</v>
      </c>
      <c r="D256" s="10" t="str">
        <f>HYPERLINK("https://www.artsobservasjoner.no/Share/ViewSightingAsMap/2208584/706DB5F2","Pilfink")</f>
        <v>Pilfink</v>
      </c>
      <c r="E256" s="12" t="s">
        <v>6</v>
      </c>
    </row>
    <row r="257" ht="15.75" customHeight="1">
      <c r="A257" s="34">
        <v>211.0</v>
      </c>
      <c r="B257" s="10" t="str">
        <f>HYPERLINK("https://www.artsobservasjoner.no/Share/ViewSightingAsMap/2208580/25F94649","House Sparrow")</f>
        <v>House Sparrow</v>
      </c>
      <c r="C257" s="11" t="str">
        <f>HYPERLINK("https://www.artsobservasjoner.no/Share/ViewSightingAsMap/2208580/25F94649","Passer domesticus")</f>
        <v>Passer domesticus</v>
      </c>
      <c r="D257" s="10" t="str">
        <f>HYPERLINK("https://www.artsobservasjoner.no/Share/ViewSightingAsMap/2208580/25F94649","Gråspurv")</f>
        <v>Gråspurv</v>
      </c>
      <c r="E257" s="12" t="s">
        <v>6</v>
      </c>
    </row>
    <row r="258" ht="15.75" customHeight="1">
      <c r="A258" s="34">
        <v>212.0</v>
      </c>
      <c r="B258" s="10" t="str">
        <f>HYPERLINK("https://www.artsobservasjoner.no/Share/ViewSightingAsMap/2208434/63CBDFA3","Dunnock")</f>
        <v>Dunnock</v>
      </c>
      <c r="C258" s="11" t="str">
        <f>HYPERLINK("https://www.artsobservasjoner.no/Share/ViewSightingAsMap/2208434/63CBDFA3","Prunella modularis")</f>
        <v>Prunella modularis</v>
      </c>
      <c r="D258" s="10" t="str">
        <f>HYPERLINK("https://www.artsobservasjoner.no/Share/ViewSightingAsMap/2208434/63CBDFA3","Jernspurv")</f>
        <v>Jernspurv</v>
      </c>
      <c r="E258" s="12" t="s">
        <v>6</v>
      </c>
    </row>
    <row r="259" ht="15.75" customHeight="1">
      <c r="A259" s="34">
        <v>213.0</v>
      </c>
      <c r="B259" s="10" t="str">
        <f>HYPERLINK("https://www.artsobservasjoner.no/Share/ViewSightingAsMap/2208421/38465356","Western Yellow Wagtail")</f>
        <v>Western Yellow Wagtail</v>
      </c>
      <c r="C259" s="11" t="str">
        <f>HYPERLINK("https://www.artsobservasjoner.no/Share/ViewSightingAsMap/2208421/38465356","Motacilla flava")</f>
        <v>Motacilla flava</v>
      </c>
      <c r="D259" s="10" t="str">
        <f>HYPERLINK("https://www.artsobservasjoner.no/Share/ViewSightingAsMap/2208421/38465356","Gulerle")</f>
        <v>Gulerle</v>
      </c>
      <c r="E259" s="12" t="s">
        <v>8</v>
      </c>
    </row>
    <row r="260" ht="15.75" customHeight="1">
      <c r="A260" s="34">
        <v>214.0</v>
      </c>
      <c r="B260" s="10" t="str">
        <f>HYPERLINK("https://www.artsobservasjoner.no/Share/ViewSightingAsMap/2208422/925178FF","Grey Wagtail")</f>
        <v>Grey Wagtail</v>
      </c>
      <c r="C260" s="11" t="str">
        <f>HYPERLINK("https://www.artsobservasjoner.no/Share/ViewSightingAsMap/2208422/925178FF","Motacilla cinerea")</f>
        <v>Motacilla cinerea</v>
      </c>
      <c r="D260" s="10" t="str">
        <f>HYPERLINK("https://www.artsobservasjoner.no/Share/ViewSightingAsMap/2208422/925178FF","Vintererle")</f>
        <v>Vintererle</v>
      </c>
      <c r="E260" s="12" t="s">
        <v>6</v>
      </c>
    </row>
    <row r="261" ht="15.75" customHeight="1">
      <c r="A261" s="34">
        <v>215.0</v>
      </c>
      <c r="B261" s="10" t="str">
        <f>HYPERLINK("http://svalbardbirds.weebly.com/white-wagtail.html","White Wagtail")</f>
        <v>White Wagtail</v>
      </c>
      <c r="C261" s="11" t="str">
        <f>HYPERLINK("http://svalbardbirds.weebly.com/white-wagtail.html","Motacilla alba")</f>
        <v>Motacilla alba</v>
      </c>
      <c r="D261" s="10" t="str">
        <f>HYPERLINK("http://svalbardbirds.weebly.com/linerle.html","Linerle")</f>
        <v>Linerle</v>
      </c>
      <c r="E261" s="12" t="s">
        <v>38</v>
      </c>
    </row>
    <row r="262" ht="15.75" customHeight="1">
      <c r="A262" s="34">
        <v>216.0</v>
      </c>
      <c r="B262" s="10" t="str">
        <f>HYPERLINK("http://svalbardbirds.weebly.com/meadow-pipit.html","Meadow Pipit")</f>
        <v>Meadow Pipit</v>
      </c>
      <c r="C262" s="11" t="str">
        <f>HYPERLINK("http://svalbardbirds.weebly.com/meadow-pipit.html","Anthus pratensis")</f>
        <v>Anthus pratensis</v>
      </c>
      <c r="D262" s="10" t="str">
        <f>HYPERLINK("http://svalbardbirds.weebly.com/heipiplerke.html","Heipiplerke")</f>
        <v>Heipiplerke</v>
      </c>
      <c r="E262" s="12" t="s">
        <v>85</v>
      </c>
    </row>
    <row r="263" ht="15.75" customHeight="1">
      <c r="A263" s="34">
        <v>217.0</v>
      </c>
      <c r="B263" s="10" t="str">
        <f>HYPERLINK("https://www.artsobservasjoner.no/Share/ViewSightingAsMap/2208419/B7284250","Tree Pipit")</f>
        <v>Tree Pipit</v>
      </c>
      <c r="C263" s="11" t="str">
        <f>HYPERLINK("https://www.artsobservasjoner.no/Share/ViewSightingAsMap/2208419/B7284250","Anthus trivialis")</f>
        <v>Anthus trivialis</v>
      </c>
      <c r="D263" s="10" t="str">
        <f>HYPERLINK("https://www.artsobservasjoner.no/Share/ViewSightingAsMap/2208419/B7284250","Trepiplerke")</f>
        <v>Trepiplerke</v>
      </c>
      <c r="E263" s="12" t="s">
        <v>6</v>
      </c>
    </row>
    <row r="264" ht="15.75" customHeight="1">
      <c r="A264" s="34">
        <v>218.0</v>
      </c>
      <c r="B264" s="28" t="s">
        <v>86</v>
      </c>
      <c r="C264" s="29" t="s">
        <v>87</v>
      </c>
      <c r="D264" s="30" t="s">
        <v>88</v>
      </c>
      <c r="E264" s="12" t="s">
        <v>6</v>
      </c>
    </row>
    <row r="265" ht="15.75" customHeight="1">
      <c r="A265" s="34">
        <v>219.0</v>
      </c>
      <c r="B265" s="10" t="str">
        <f>HYPERLINK("https://www.artsobservasjoner.no/Share/ViewSightingAsMap/2208416/1DA0D9A2","Red-throated Pipit")</f>
        <v>Red-throated Pipit</v>
      </c>
      <c r="C265" s="11" t="str">
        <f>HYPERLINK("https://www.artsobservasjoner.no/Share/ViewSightingAsMap/2208416/1DA0D9A2","Anthus cervinus")</f>
        <v>Anthus cervinus</v>
      </c>
      <c r="D265" s="10" t="str">
        <f>HYPERLINK("https://www.artsobservasjoner.no/Share/ViewSightingAsMap/2208416/1DA0D9A2","Lappiplerke")</f>
        <v>Lappiplerke</v>
      </c>
      <c r="E265" s="12" t="s">
        <v>6</v>
      </c>
    </row>
    <row r="266" ht="15.75" customHeight="1">
      <c r="A266" s="34">
        <v>220.0</v>
      </c>
      <c r="B266" s="10" t="str">
        <f>HYPERLINK("https://www.artsobservasjoner.no/Share/ViewSightingAsMap/2208410/3B3B5E5D","Buff-bellied Pipit")</f>
        <v>Buff-bellied Pipit</v>
      </c>
      <c r="C266" s="11" t="str">
        <f>HYPERLINK("https://www.artsobservasjoner.no/Share/ViewSightingAsMap/2208410/3B3B5E5D","Anthus rubescens")</f>
        <v>Anthus rubescens</v>
      </c>
      <c r="D266" s="10" t="str">
        <f>HYPERLINK("https://www.artsobservasjoner.no/Share/ViewSightingAsMap/2208410/3B3B5E5D","Myrpiplerke")</f>
        <v>Myrpiplerke</v>
      </c>
      <c r="E266" s="12" t="s">
        <v>6</v>
      </c>
    </row>
    <row r="267" ht="15.75" customHeight="1">
      <c r="A267" s="34">
        <v>221.0</v>
      </c>
      <c r="B267" s="10" t="str">
        <f>HYPERLINK("https://www.artsobservasjoner.no/Share/ViewSightingAsMap/2208417/056B4E58","European Rock Pipit")</f>
        <v>European Rock Pipit</v>
      </c>
      <c r="C267" s="11" t="str">
        <f>HYPERLINK("https://www.artsobservasjoner.no/Share/ViewSightingAsMap/2208417/056B4E58","Anthus petrosus")</f>
        <v>Anthus petrosus</v>
      </c>
      <c r="D267" s="10" t="str">
        <f>HYPERLINK("https://www.artsobservasjoner.no/Share/ViewSightingAsMap/2208417/056B4E58","Skjærpiplerke")</f>
        <v>Skjærpiplerke</v>
      </c>
      <c r="E267" s="12" t="s">
        <v>6</v>
      </c>
    </row>
    <row r="268" ht="15.75" customHeight="1">
      <c r="A268" s="34">
        <v>222.0</v>
      </c>
      <c r="B268" s="10" t="str">
        <f>HYPERLINK("https://www.artsobservasjoner.no/Share/ViewSightingAsMap/2208585/27097095","Common Chaffinch")</f>
        <v>Common Chaffinch</v>
      </c>
      <c r="C268" s="11" t="str">
        <f>HYPERLINK("https://www.artsobservasjoner.no/Share/ViewSightingAsMap/2208585/27097095","Fringilla coelebs")</f>
        <v>Fringilla coelebs</v>
      </c>
      <c r="D268" s="10" t="str">
        <f>HYPERLINK("https://www.artsobservasjoner.no/Share/ViewSightingAsMap/2208585/27097095","Bokfink")</f>
        <v>Bokfink</v>
      </c>
      <c r="E268" s="12" t="s">
        <v>8</v>
      </c>
    </row>
    <row r="269" ht="15.75" customHeight="1">
      <c r="A269" s="34">
        <v>223.0</v>
      </c>
      <c r="B269" s="10" t="str">
        <f>HYPERLINK("https://www.artsobservasjoner.no/Share/ViewSightingAsMap/2208587/1ADAE68A","Brambling")</f>
        <v>Brambling</v>
      </c>
      <c r="C269" s="11" t="str">
        <f>HYPERLINK("https://www.artsobservasjoner.no/Share/ViewSightingAsMap/2208587/1ADAE68A","Fringilla montifringilla")</f>
        <v>Fringilla montifringilla</v>
      </c>
      <c r="D269" s="10" t="str">
        <f>HYPERLINK("https://www.artsobservasjoner.no/Share/ViewSightingAsMap/2208587/1ADAE68A","Bjørkefink")</f>
        <v>Bjørkefink</v>
      </c>
      <c r="E269" s="12" t="s">
        <v>74</v>
      </c>
    </row>
    <row r="270" ht="15.75" customHeight="1">
      <c r="A270" s="34">
        <v>224.0</v>
      </c>
      <c r="B270" s="10" t="str">
        <f>HYPERLINK("https://www.artsobservasjoner.no/Share/ViewSightingAsMap/2208611/CF912232","Hawfinch")</f>
        <v>Hawfinch</v>
      </c>
      <c r="C270" s="11" t="str">
        <f>HYPERLINK("https://www.artsobservasjoner.no/Share/ViewSightingAsMap/2208611/CF912232","Coccothraustes coccothraustes")</f>
        <v>Coccothraustes coccothraustes</v>
      </c>
      <c r="D270" s="10" t="str">
        <f>HYPERLINK("https://www.artsobservasjoner.no/Share/ViewSightingAsMap/2208611/CF912232","Kjernebiter")</f>
        <v>Kjernebiter</v>
      </c>
      <c r="E270" s="12" t="s">
        <v>6</v>
      </c>
    </row>
    <row r="271" ht="15.75" customHeight="1">
      <c r="A271" s="34">
        <v>225.0</v>
      </c>
      <c r="B271" s="10" t="str">
        <f>HYPERLINK("https://www.artsobservasjoner.no/Share/ViewSightingAsMap/2208608/702D4EF3","Eurasian Bullfinch")</f>
        <v>Eurasian Bullfinch</v>
      </c>
      <c r="C271" s="16" t="str">
        <f>HYPERLINK("https://www.artsobservasjoner.no/Share/ViewSightingAsMap/2208608/702D4EF3","Pyrrhula pyrrhula")</f>
        <v>Pyrrhula pyrrhula</v>
      </c>
      <c r="D271" s="10" t="str">
        <f>HYPERLINK("https://www.artsobservasjoner.no/Share/ViewSightingAsMap/2208608/702D4EF3","Dompap")</f>
        <v>Dompap</v>
      </c>
      <c r="E271" s="12" t="s">
        <v>6</v>
      </c>
    </row>
    <row r="272" ht="15.75" customHeight="1">
      <c r="A272" s="34">
        <v>226.0</v>
      </c>
      <c r="B272" s="10" t="str">
        <f>HYPERLINK("https://www.artsobservasjoner.no/Share/ViewSightingAsMap/2208605/F774E476","Common Rosefinch")</f>
        <v>Common Rosefinch</v>
      </c>
      <c r="C272" s="11" t="str">
        <f>HYPERLINK("https://www.artsobservasjoner.no/Share/ViewSightingAsMap/2208605/F774E476","Carpodacus erythrinus")</f>
        <v>Carpodacus erythrinus</v>
      </c>
      <c r="D272" s="10" t="str">
        <f>HYPERLINK("https://www.artsobservasjoner.no/Share/ViewSightingAsMap/2208605/F774E476","Rosenfink")</f>
        <v>Rosenfink</v>
      </c>
      <c r="E272" s="12" t="s">
        <v>6</v>
      </c>
    </row>
    <row r="273" ht="15.75" customHeight="1">
      <c r="A273" s="34">
        <v>227.0</v>
      </c>
      <c r="B273" s="10" t="str">
        <f>HYPERLINK("https://www.artsobservasjoner.no/Share/ViewSightingAsMap/2208589/0A834793","European Greenfinch")</f>
        <v>European Greenfinch</v>
      </c>
      <c r="C273" s="11" t="str">
        <f>HYPERLINK("https://www.artsobservasjoner.no/Share/ViewSightingAsMap/2208589/0A834793","Carduelis chloris")</f>
        <v>Carduelis chloris</v>
      </c>
      <c r="D273" s="10" t="str">
        <f>HYPERLINK("https://www.artsobservasjoner.no/Share/ViewSightingAsMap/2208589/0A834793","Grønnfink")</f>
        <v>Grønnfink</v>
      </c>
      <c r="E273" s="12" t="s">
        <v>6</v>
      </c>
    </row>
    <row r="274" ht="15.75" customHeight="1">
      <c r="A274" s="34">
        <v>228.0</v>
      </c>
      <c r="B274" s="10" t="str">
        <f>HYPERLINK("https://www.artsobservasjoner.no/Share/ViewSightingAsMap/2222257/F613B7A8","Twite")</f>
        <v>Twite</v>
      </c>
      <c r="C274" s="11" t="str">
        <f>HYPERLINK("https://www.artsobservasjoner.no/Share/ViewSightingAsMap/2222257/F613B7A8","Carduelis flavirostris")</f>
        <v>Carduelis flavirostris</v>
      </c>
      <c r="D274" s="10" t="str">
        <f>HYPERLINK("https://www.artsobservasjoner.no/Share/ViewSightingAsMap/2222257/F613B7A8","Bergirisk")</f>
        <v>Bergirisk</v>
      </c>
      <c r="E274" s="12" t="s">
        <v>6</v>
      </c>
    </row>
    <row r="275" ht="15.75" customHeight="1">
      <c r="A275" s="34">
        <v>229.0</v>
      </c>
      <c r="B275" s="10" t="str">
        <f>HYPERLINK("http://svalbardbirds.weebly.com/common-redpoll.html","Common Redpoll")</f>
        <v>Common Redpoll</v>
      </c>
      <c r="C275" s="11" t="str">
        <f>HYPERLINK("http://svalbardbirds.weebly.com/common-redpoll.html","Acanthis flammea")</f>
        <v>Acanthis flammea</v>
      </c>
      <c r="D275" s="10" t="str">
        <f>HYPERLINK("http://svalbardbirds.weebly.com/graringsisik.html","Gråsisik")</f>
        <v>Gråsisik</v>
      </c>
      <c r="E275" s="12" t="s">
        <v>89</v>
      </c>
    </row>
    <row r="276" ht="15.75" customHeight="1">
      <c r="A276" s="34">
        <v>230.0</v>
      </c>
      <c r="B276" s="10" t="str">
        <f>HYPERLINK("http://svalbardbirds.weebly.com/arctic-redpoll.html","Arctic Redpoll")</f>
        <v>Arctic Redpoll</v>
      </c>
      <c r="C276" s="11" t="str">
        <f>HYPERLINK("http://svalbardbirds.weebly.com/arctic-redpoll.html","Acanthis hornemanni")</f>
        <v>Acanthis hornemanni</v>
      </c>
      <c r="D276" s="10" t="str">
        <f>HYPERLINK("http://svalbardbirds.weebly.com/polarsisik.html","Polarsisik")</f>
        <v>Polarsisik</v>
      </c>
      <c r="E276" s="12" t="s">
        <v>90</v>
      </c>
    </row>
    <row r="277" ht="15.75" customHeight="1">
      <c r="A277" s="9">
        <v>231.0</v>
      </c>
      <c r="B277" s="10" t="str">
        <f>HYPERLINK("https://www.artsobservasjoner.no/Share/ViewSightingAsMap/2208599/FD03088F","Red Crossbill")</f>
        <v>Red Crossbill</v>
      </c>
      <c r="C277" s="11" t="str">
        <f>HYPERLINK("https://www.artsobservasjoner.no/Share/ViewSightingAsMap/2208599/FD03088F","Loxia curvirostra")</f>
        <v>Loxia curvirostra</v>
      </c>
      <c r="D277" s="10" t="str">
        <f>HYPERLINK("https://www.artsobservasjoner.no/Share/ViewSightingAsMap/2208599/FD03088F","Grankorsnebb")</f>
        <v>Grankorsnebb</v>
      </c>
      <c r="E277" s="12" t="s">
        <v>6</v>
      </c>
    </row>
    <row r="278" ht="15.75" customHeight="1">
      <c r="A278" s="9">
        <v>232.0</v>
      </c>
      <c r="B278" s="10" t="str">
        <f>HYPERLINK("https://www.artsobservasjoner.no/Share/ViewSightingAsMap/2208603/D0B85539","Two-barred Crossbill")</f>
        <v>Two-barred Crossbill</v>
      </c>
      <c r="C278" s="11" t="str">
        <f>HYPERLINK("https://www.artsobservasjoner.no/Share/ViewSightingAsMap/2208603/D0B85539","Loxia leucoptera")</f>
        <v>Loxia leucoptera</v>
      </c>
      <c r="D278" s="10" t="str">
        <f>HYPERLINK("https://www.artsobservasjoner.no/Share/ViewSightingAsMap/2208603/D0B85539","Båndkorsnebb")</f>
        <v>Båndkorsnebb</v>
      </c>
      <c r="E278" s="12" t="s">
        <v>6</v>
      </c>
    </row>
    <row r="279" ht="15.75" customHeight="1">
      <c r="A279" s="9">
        <v>233.0</v>
      </c>
      <c r="B279" s="10" t="str">
        <f>HYPERLINK("http://svalbardbirds.weebly.com/lapland-bunting.html","Lapland Longspur")</f>
        <v>Lapland Longspur</v>
      </c>
      <c r="C279" s="11" t="str">
        <f>HYPERLINK("http://svalbardbirds.weebly.com/lapland-bunting.html","Calcarius lapponicus")</f>
        <v>Calcarius lapponicus</v>
      </c>
      <c r="D279" s="10" t="str">
        <f>HYPERLINK("http://svalbardbirds.weebly.com/lappspurv.html","Lappspurv")</f>
        <v>Lappspurv</v>
      </c>
      <c r="E279" s="12" t="s">
        <v>17</v>
      </c>
    </row>
    <row r="280" ht="15.75" customHeight="1">
      <c r="A280" s="9">
        <v>234.0</v>
      </c>
      <c r="B280" s="10" t="str">
        <f>HYPERLINK("http://svalbardbirds.weebly.com/snow-bunting.html","Snow Bunting")</f>
        <v>Snow Bunting</v>
      </c>
      <c r="C280" s="11" t="str">
        <f>HYPERLINK("http://svalbardbirds.weebly.com/snow-bunting.html","Plectrophenax nivalis")</f>
        <v>Plectrophenax nivalis</v>
      </c>
      <c r="D280" s="10" t="str">
        <f>HYPERLINK("http://svalbardbirds.weebly.com/snoslashspurv.html","Snøspurv")</f>
        <v>Snøspurv</v>
      </c>
      <c r="E280" s="12" t="s">
        <v>4</v>
      </c>
    </row>
    <row r="281" ht="15.75" customHeight="1">
      <c r="A281" s="9">
        <v>235.0</v>
      </c>
      <c r="B281" s="10" t="str">
        <f>HYPERLINK("https://www.artsobservasjoner.no/Share/ViewSightingAsMap/2208613/BD4334DA","Yellowhammer")</f>
        <v>Yellowhammer</v>
      </c>
      <c r="C281" s="33" t="str">
        <f>HYPERLINK("https://www.artsobservasjoner.no/Share/ViewSightingAsMap/2208613/BD4334DA","Emberiza citrinella")</f>
        <v>Emberiza citrinella</v>
      </c>
      <c r="D281" s="10" t="str">
        <f>HYPERLINK("https://www.artsobservasjoner.no/Share/ViewSightingAsMap/2208613/BD4334DA","Gulspurv")</f>
        <v>Gulspurv</v>
      </c>
      <c r="E281" s="15" t="s">
        <v>8</v>
      </c>
    </row>
    <row r="282" ht="15.75" customHeight="1">
      <c r="A282" s="34">
        <v>236.0</v>
      </c>
      <c r="B282" s="10" t="str">
        <f>HYPERLINK("https://www.artsobservasjoner.no/Share/ViewSightingAsMap/2208614/27DDA3A1","Rustic Bunting")</f>
        <v>Rustic Bunting</v>
      </c>
      <c r="C282" s="33" t="str">
        <f>HYPERLINK("https://www.artsobservasjoner.no/Share/ViewSightingAsMap/2208614/27DDA3A1","Emberiza rustica")</f>
        <v>Emberiza rustica</v>
      </c>
      <c r="D282" s="10" t="str">
        <f>HYPERLINK("https://www.artsobservasjoner.no/Share/ViewSightingAsMap/2208614/27DDA3A1","Vierspurv")</f>
        <v>Vierspurv</v>
      </c>
      <c r="E282" s="12" t="s">
        <v>6</v>
      </c>
    </row>
    <row r="283" ht="15.75" customHeight="1">
      <c r="A283" s="34">
        <v>237.0</v>
      </c>
      <c r="B283" s="10" t="str">
        <f>HYPERLINK("https://www.artsobservasjoner.no/Share/ViewSightingAsMap/2208616/B80A528C","Common Reed Bunting")</f>
        <v>Common Reed Bunting</v>
      </c>
      <c r="C283" s="33" t="str">
        <f>HYPERLINK("https://www.artsobservasjoner.no/Share/ViewSightingAsMap/2208616/B80A528C","Emberiza schoeniclus")</f>
        <v>Emberiza schoeniclus</v>
      </c>
      <c r="D283" s="10" t="str">
        <f>HYPERLINK("https://www.artsobservasjoner.no/Share/ViewSightingAsMap/2208616/B80A528C","Sivspurv")</f>
        <v>Sivspurv</v>
      </c>
      <c r="E283" s="12" t="s">
        <v>8</v>
      </c>
    </row>
    <row r="284" ht="15.75" customHeight="1">
      <c r="A284" s="37"/>
      <c r="B284" s="37"/>
      <c r="C284" s="37"/>
      <c r="D284" s="37"/>
      <c r="E284" s="37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</row>
    <row r="285" ht="15.75" customHeight="1">
      <c r="A285" s="37"/>
      <c r="B285" s="38" t="s">
        <v>91</v>
      </c>
      <c r="C285" s="2"/>
      <c r="D285" s="2"/>
      <c r="E285" s="3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</row>
    <row r="286" ht="15.75" customHeight="1">
      <c r="A286" s="39">
        <v>1.0</v>
      </c>
      <c r="B286" s="40" t="str">
        <f>HYPERLINK("https://www.artsobservasjoner.no/Share/ViewSightingAsMap/2208621/B60CDB92","Common Eider x King Eider")</f>
        <v>Common Eider x King Eider</v>
      </c>
      <c r="C286" s="41" t="str">
        <f>HYPERLINK("https://www.artsobservasjoner.no/Share/ViewSightingAsMap/2208621/B60CDB92","Somateria spectabilis/mollissima")</f>
        <v>Somateria spectabilis/mollissima</v>
      </c>
      <c r="D286" s="40" t="str">
        <f>HYPERLINK("https://www.artsobservasjoner.no/Share/ViewSightingAsMap/2208621/B60CDB92","ærfugl/praktærfugl")</f>
        <v>ærfugl/praktærfugl</v>
      </c>
      <c r="E286" s="39" t="s">
        <v>36</v>
      </c>
    </row>
    <row r="287" ht="15.75" customHeight="1">
      <c r="A287" s="39">
        <v>2.0</v>
      </c>
      <c r="B287" s="40" t="str">
        <f>HYPERLINK("https://www.artsobservasjoner.no/Share/ViewSightingAsMap/2208622/8D92BDB5","Glacious Gull x Herring Gull")</f>
        <v>Glacious Gull x Herring Gull</v>
      </c>
      <c r="C287" s="41" t="str">
        <f>HYPERLINK("https://www.artsobservasjoner.no/Share/ViewSightingAsMap/2208622/8D92BDB5","Larus hyperboreus/argentatus")</f>
        <v>Larus hyperboreus/argentatus</v>
      </c>
      <c r="D287" s="40" t="str">
        <f>HYPERLINK("https://www.artsobservasjoner.no/Share/ViewSightingAsMap/2208622/8D92BDB5","polarmåke/gråmåke")</f>
        <v>polarmåke/gråmåke</v>
      </c>
      <c r="E287" s="39" t="s">
        <v>36</v>
      </c>
    </row>
    <row r="288" ht="15.75" customHeight="1">
      <c r="A288" s="39">
        <v>3.0</v>
      </c>
      <c r="B288" s="42" t="s">
        <v>92</v>
      </c>
      <c r="C288" s="43" t="s">
        <v>93</v>
      </c>
      <c r="D288" s="42" t="s">
        <v>94</v>
      </c>
      <c r="E288" s="39" t="s">
        <v>6</v>
      </c>
    </row>
    <row r="289" ht="15.75" customHeight="1">
      <c r="A289" s="44"/>
      <c r="B289" s="45"/>
      <c r="C289" s="46"/>
      <c r="D289" s="45"/>
      <c r="E289" s="45"/>
    </row>
    <row r="290" ht="15.75" customHeight="1">
      <c r="A290" s="47"/>
      <c r="B290" s="48" t="s">
        <v>95</v>
      </c>
      <c r="E290" s="49"/>
    </row>
    <row r="291" ht="15.75" customHeight="1">
      <c r="A291" s="50">
        <v>1.0</v>
      </c>
      <c r="B291" s="50" t="s">
        <v>96</v>
      </c>
      <c r="C291" s="51" t="s">
        <v>97</v>
      </c>
      <c r="D291" s="50" t="s">
        <v>98</v>
      </c>
      <c r="E291" s="49"/>
    </row>
    <row r="292" ht="15.75" customHeight="1">
      <c r="A292" s="52">
        <v>2.0</v>
      </c>
      <c r="B292" s="50" t="s">
        <v>99</v>
      </c>
      <c r="C292" s="51" t="s">
        <v>100</v>
      </c>
      <c r="D292" s="50" t="s">
        <v>101</v>
      </c>
      <c r="E292" s="49"/>
    </row>
    <row r="293" ht="15.75" customHeight="1">
      <c r="A293" s="52">
        <v>3.0</v>
      </c>
      <c r="B293" s="50" t="s">
        <v>102</v>
      </c>
      <c r="C293" s="51" t="s">
        <v>103</v>
      </c>
      <c r="D293" s="50" t="s">
        <v>104</v>
      </c>
      <c r="E293" s="49"/>
    </row>
    <row r="294" ht="15.75" customHeight="1">
      <c r="A294" s="52">
        <v>4.0</v>
      </c>
      <c r="B294" s="50" t="s">
        <v>105</v>
      </c>
      <c r="C294" s="51" t="s">
        <v>106</v>
      </c>
      <c r="D294" s="50" t="s">
        <v>107</v>
      </c>
      <c r="E294" s="49"/>
    </row>
    <row r="295" ht="15.75" customHeight="1">
      <c r="A295" s="52">
        <v>5.0</v>
      </c>
      <c r="B295" s="50" t="s">
        <v>108</v>
      </c>
      <c r="C295" s="51" t="s">
        <v>109</v>
      </c>
      <c r="D295" s="50" t="s">
        <v>110</v>
      </c>
      <c r="E295" s="49"/>
    </row>
    <row r="296" ht="15.75" customHeight="1">
      <c r="A296" s="53">
        <v>6.0</v>
      </c>
      <c r="B296" s="50" t="s">
        <v>111</v>
      </c>
      <c r="C296" s="54" t="s">
        <v>112</v>
      </c>
      <c r="D296" s="50" t="s">
        <v>113</v>
      </c>
      <c r="E296" s="44"/>
    </row>
    <row r="297" ht="15.75" customHeight="1">
      <c r="A297" s="53">
        <v>7.0</v>
      </c>
      <c r="B297" s="52" t="s">
        <v>114</v>
      </c>
      <c r="C297" s="54" t="s">
        <v>115</v>
      </c>
      <c r="D297" s="50" t="s">
        <v>116</v>
      </c>
      <c r="E297" s="44"/>
    </row>
    <row r="298" ht="15.75" customHeight="1">
      <c r="A298" s="53">
        <v>8.0</v>
      </c>
      <c r="B298" s="50" t="s">
        <v>117</v>
      </c>
      <c r="C298" s="51" t="s">
        <v>118</v>
      </c>
      <c r="D298" s="50" t="s">
        <v>119</v>
      </c>
      <c r="E298" s="49"/>
    </row>
    <row r="299" ht="15.75" customHeight="1">
      <c r="A299" s="47"/>
      <c r="E299" s="49"/>
    </row>
    <row r="300" ht="15.75" customHeight="1">
      <c r="A300" s="47"/>
      <c r="E300" s="49"/>
    </row>
    <row r="301" ht="15.75" customHeight="1">
      <c r="A301" s="47"/>
      <c r="E301" s="49"/>
    </row>
    <row r="302" ht="15.75" customHeight="1">
      <c r="A302" s="47"/>
      <c r="E302" s="49"/>
    </row>
    <row r="303" ht="15.75" customHeight="1">
      <c r="A303" s="47"/>
      <c r="E303" s="49"/>
    </row>
    <row r="304" ht="15.75" customHeight="1">
      <c r="A304" s="47"/>
      <c r="E304" s="49"/>
    </row>
    <row r="305" ht="15.75" customHeight="1">
      <c r="A305" s="47"/>
      <c r="E305" s="49"/>
    </row>
    <row r="306" ht="15.75" customHeight="1">
      <c r="E306" s="49"/>
    </row>
    <row r="307" ht="15.75" customHeight="1">
      <c r="E307" s="49"/>
    </row>
    <row r="308" ht="15.75" customHeight="1">
      <c r="E308" s="49"/>
    </row>
    <row r="309" ht="15.75" customHeight="1">
      <c r="E309" s="49"/>
    </row>
    <row r="310" ht="15.75" customHeight="1">
      <c r="E310" s="49"/>
    </row>
    <row r="311" ht="15.75" customHeight="1">
      <c r="E311" s="49"/>
    </row>
    <row r="312" ht="15.75" customHeight="1">
      <c r="E312" s="49"/>
    </row>
    <row r="313" ht="15.75" customHeight="1">
      <c r="E313" s="49"/>
    </row>
    <row r="314" ht="15.75" customHeight="1">
      <c r="E314" s="49"/>
    </row>
    <row r="315" ht="15.75" customHeight="1">
      <c r="E315" s="49"/>
    </row>
    <row r="316" ht="15.75" customHeight="1">
      <c r="E316" s="49"/>
    </row>
    <row r="317" ht="15.75" customHeight="1">
      <c r="E317" s="49"/>
    </row>
    <row r="318" ht="15.75" customHeight="1">
      <c r="E318" s="49"/>
    </row>
    <row r="319" ht="15.75" customHeight="1">
      <c r="E319" s="49"/>
    </row>
    <row r="320" ht="15.75" customHeight="1">
      <c r="E320" s="49"/>
    </row>
    <row r="321" ht="15.75" customHeight="1">
      <c r="E321" s="49"/>
    </row>
    <row r="322" ht="15.75" customHeight="1">
      <c r="E322" s="49"/>
    </row>
    <row r="323" ht="15.75" customHeight="1">
      <c r="E323" s="49"/>
    </row>
    <row r="324" ht="15.75" customHeight="1">
      <c r="E324" s="49"/>
    </row>
    <row r="325" ht="15.75" customHeight="1">
      <c r="E325" s="49"/>
    </row>
    <row r="326" ht="15.75" customHeight="1">
      <c r="E326" s="49"/>
    </row>
    <row r="327" ht="15.75" customHeight="1">
      <c r="E327" s="49"/>
    </row>
    <row r="328" ht="15.75" customHeight="1">
      <c r="E328" s="49"/>
    </row>
    <row r="329" ht="15.75" customHeight="1">
      <c r="E329" s="49"/>
    </row>
    <row r="330" ht="15.75" customHeight="1">
      <c r="E330" s="49"/>
    </row>
    <row r="331" ht="15.75" customHeight="1">
      <c r="E331" s="49"/>
    </row>
    <row r="332" ht="15.75" customHeight="1">
      <c r="E332" s="49"/>
    </row>
    <row r="333" ht="15.75" customHeight="1">
      <c r="E333" s="49"/>
    </row>
    <row r="334" ht="15.75" customHeight="1">
      <c r="E334" s="49"/>
    </row>
    <row r="335" ht="15.75" customHeight="1">
      <c r="E335" s="49"/>
    </row>
    <row r="336" ht="15.75" customHeight="1">
      <c r="E336" s="49"/>
    </row>
    <row r="337" ht="15.75" customHeight="1">
      <c r="E337" s="49"/>
    </row>
    <row r="338" ht="15.75" customHeight="1">
      <c r="E338" s="49"/>
    </row>
    <row r="339" ht="15.75" customHeight="1">
      <c r="E339" s="49"/>
    </row>
    <row r="340" ht="15.75" customHeight="1">
      <c r="E340" s="49"/>
    </row>
    <row r="341" ht="15.75" customHeight="1">
      <c r="E341" s="49"/>
    </row>
    <row r="342" ht="15.75" customHeight="1">
      <c r="E342" s="49"/>
    </row>
    <row r="343" ht="15.75" customHeight="1">
      <c r="E343" s="49"/>
    </row>
    <row r="344" ht="15.75" customHeight="1">
      <c r="E344" s="49"/>
    </row>
    <row r="345" ht="15.75" customHeight="1">
      <c r="E345" s="49"/>
    </row>
    <row r="346" ht="15.75" customHeight="1">
      <c r="E346" s="49"/>
    </row>
    <row r="347" ht="15.75" customHeight="1">
      <c r="E347" s="49"/>
    </row>
    <row r="348" ht="15.75" customHeight="1">
      <c r="E348" s="49"/>
    </row>
    <row r="349" ht="15.75" customHeight="1">
      <c r="E349" s="49"/>
    </row>
    <row r="350" ht="15.75" customHeight="1">
      <c r="E350" s="49"/>
    </row>
    <row r="351" ht="15.75" customHeight="1">
      <c r="E351" s="49"/>
    </row>
    <row r="352" ht="15.75" customHeight="1">
      <c r="E352" s="49"/>
    </row>
    <row r="353" ht="15.75" customHeight="1">
      <c r="E353" s="49"/>
    </row>
    <row r="354" ht="15.75" customHeight="1">
      <c r="E354" s="49"/>
    </row>
    <row r="355" ht="15.75" customHeight="1">
      <c r="E355" s="49"/>
    </row>
    <row r="356" ht="15.75" customHeight="1">
      <c r="E356" s="49"/>
    </row>
    <row r="357" ht="15.75" customHeight="1">
      <c r="E357" s="49"/>
    </row>
    <row r="358" ht="15.75" customHeight="1">
      <c r="E358" s="49"/>
    </row>
    <row r="359" ht="15.75" customHeight="1">
      <c r="E359" s="49"/>
    </row>
    <row r="360" ht="15.75" customHeight="1">
      <c r="E360" s="49"/>
    </row>
    <row r="361" ht="15.75" customHeight="1">
      <c r="E361" s="49"/>
    </row>
    <row r="362" ht="15.75" customHeight="1">
      <c r="E362" s="49"/>
    </row>
    <row r="363" ht="15.75" customHeight="1">
      <c r="E363" s="49"/>
    </row>
    <row r="364" ht="15.75" customHeight="1">
      <c r="E364" s="49"/>
    </row>
    <row r="365" ht="15.75" customHeight="1">
      <c r="E365" s="49"/>
    </row>
    <row r="366" ht="15.75" customHeight="1">
      <c r="E366" s="49"/>
    </row>
    <row r="367" ht="15.75" customHeight="1">
      <c r="E367" s="49"/>
    </row>
    <row r="368" ht="15.75" customHeight="1">
      <c r="E368" s="49"/>
    </row>
    <row r="369" ht="15.75" customHeight="1">
      <c r="E369" s="49"/>
    </row>
    <row r="370" ht="15.75" customHeight="1">
      <c r="E370" s="49"/>
    </row>
    <row r="371" ht="15.75" customHeight="1">
      <c r="E371" s="49"/>
    </row>
    <row r="372" ht="15.75" customHeight="1">
      <c r="E372" s="49"/>
    </row>
    <row r="373" ht="15.75" customHeight="1">
      <c r="E373" s="49"/>
    </row>
    <row r="374" ht="15.75" customHeight="1">
      <c r="E374" s="49"/>
    </row>
    <row r="375" ht="15.75" customHeight="1">
      <c r="E375" s="49"/>
    </row>
    <row r="376" ht="15.75" customHeight="1">
      <c r="E376" s="49"/>
    </row>
    <row r="377" ht="15.75" customHeight="1">
      <c r="E377" s="49"/>
    </row>
    <row r="378" ht="15.75" customHeight="1">
      <c r="E378" s="49"/>
    </row>
    <row r="379" ht="15.75" customHeight="1">
      <c r="E379" s="49"/>
    </row>
    <row r="380" ht="15.75" customHeight="1">
      <c r="E380" s="49"/>
    </row>
    <row r="381" ht="15.75" customHeight="1">
      <c r="E381" s="49"/>
    </row>
    <row r="382" ht="15.75" customHeight="1">
      <c r="E382" s="49"/>
    </row>
    <row r="383" ht="15.75" customHeight="1">
      <c r="E383" s="49"/>
    </row>
    <row r="384" ht="15.75" customHeight="1">
      <c r="E384" s="49"/>
    </row>
    <row r="385" ht="15.75" customHeight="1">
      <c r="E385" s="49"/>
    </row>
    <row r="386" ht="15.75" customHeight="1">
      <c r="E386" s="49"/>
    </row>
    <row r="387" ht="15.75" customHeight="1">
      <c r="E387" s="49"/>
    </row>
    <row r="388" ht="15.75" customHeight="1">
      <c r="E388" s="49"/>
    </row>
    <row r="389" ht="15.75" customHeight="1">
      <c r="E389" s="49"/>
    </row>
    <row r="390" ht="15.75" customHeight="1">
      <c r="E390" s="49"/>
    </row>
    <row r="391" ht="15.75" customHeight="1">
      <c r="E391" s="49"/>
    </row>
    <row r="392" ht="15.75" customHeight="1">
      <c r="E392" s="49"/>
    </row>
    <row r="393" ht="15.75" customHeight="1">
      <c r="E393" s="49"/>
    </row>
    <row r="394" ht="15.75" customHeight="1">
      <c r="E394" s="49"/>
    </row>
    <row r="395" ht="15.75" customHeight="1">
      <c r="E395" s="49"/>
    </row>
    <row r="396" ht="15.75" customHeight="1">
      <c r="E396" s="49"/>
    </row>
    <row r="397" ht="15.75" customHeight="1">
      <c r="E397" s="49"/>
    </row>
    <row r="398" ht="15.75" customHeight="1">
      <c r="E398" s="49"/>
    </row>
    <row r="399" ht="15.75" customHeight="1">
      <c r="E399" s="49"/>
    </row>
    <row r="400" ht="15.75" customHeight="1">
      <c r="E400" s="49"/>
    </row>
    <row r="401" ht="15.75" customHeight="1">
      <c r="E401" s="49"/>
    </row>
    <row r="402" ht="15.75" customHeight="1">
      <c r="E402" s="49"/>
    </row>
    <row r="403" ht="15.75" customHeight="1">
      <c r="E403" s="49"/>
    </row>
    <row r="404" ht="15.75" customHeight="1">
      <c r="E404" s="49"/>
    </row>
    <row r="405" ht="15.75" customHeight="1">
      <c r="E405" s="49"/>
    </row>
    <row r="406" ht="15.75" customHeight="1">
      <c r="E406" s="49"/>
    </row>
    <row r="407" ht="15.75" customHeight="1">
      <c r="E407" s="49"/>
    </row>
    <row r="408" ht="15.75" customHeight="1">
      <c r="E408" s="49"/>
    </row>
    <row r="409" ht="15.75" customHeight="1">
      <c r="E409" s="49"/>
    </row>
    <row r="410" ht="15.75" customHeight="1">
      <c r="E410" s="49"/>
    </row>
    <row r="411" ht="15.75" customHeight="1">
      <c r="E411" s="49"/>
    </row>
    <row r="412" ht="15.75" customHeight="1">
      <c r="E412" s="49"/>
    </row>
    <row r="413" ht="15.75" customHeight="1">
      <c r="E413" s="49"/>
    </row>
    <row r="414" ht="15.75" customHeight="1">
      <c r="E414" s="49"/>
    </row>
    <row r="415" ht="15.75" customHeight="1">
      <c r="E415" s="49"/>
    </row>
    <row r="416" ht="15.75" customHeight="1">
      <c r="E416" s="49"/>
    </row>
    <row r="417" ht="15.75" customHeight="1">
      <c r="E417" s="49"/>
    </row>
    <row r="418" ht="15.75" customHeight="1">
      <c r="E418" s="49"/>
    </row>
    <row r="419" ht="15.75" customHeight="1">
      <c r="E419" s="49"/>
    </row>
    <row r="420" ht="15.75" customHeight="1">
      <c r="E420" s="49"/>
    </row>
    <row r="421" ht="15.75" customHeight="1">
      <c r="E421" s="49"/>
    </row>
    <row r="422" ht="15.75" customHeight="1">
      <c r="E422" s="49"/>
    </row>
    <row r="423" ht="15.75" customHeight="1">
      <c r="E423" s="49"/>
    </row>
    <row r="424" ht="15.75" customHeight="1">
      <c r="E424" s="49"/>
    </row>
    <row r="425" ht="15.75" customHeight="1">
      <c r="E425" s="49"/>
    </row>
    <row r="426" ht="15.75" customHeight="1">
      <c r="E426" s="49"/>
    </row>
    <row r="427" ht="15.75" customHeight="1">
      <c r="E427" s="49"/>
    </row>
    <row r="428" ht="15.75" customHeight="1">
      <c r="E428" s="49"/>
    </row>
    <row r="429" ht="15.75" customHeight="1">
      <c r="E429" s="49"/>
    </row>
    <row r="430" ht="15.75" customHeight="1">
      <c r="E430" s="49"/>
    </row>
    <row r="431" ht="15.75" customHeight="1">
      <c r="E431" s="49"/>
    </row>
    <row r="432" ht="15.75" customHeight="1">
      <c r="E432" s="49"/>
    </row>
    <row r="433" ht="15.75" customHeight="1">
      <c r="E433" s="49"/>
    </row>
    <row r="434" ht="15.75" customHeight="1">
      <c r="E434" s="49"/>
    </row>
    <row r="435" ht="15.75" customHeight="1">
      <c r="E435" s="49"/>
    </row>
    <row r="436" ht="15.75" customHeight="1">
      <c r="E436" s="49"/>
    </row>
    <row r="437" ht="15.75" customHeight="1">
      <c r="E437" s="49"/>
    </row>
    <row r="438" ht="15.75" customHeight="1">
      <c r="E438" s="49"/>
    </row>
    <row r="439" ht="15.75" customHeight="1">
      <c r="E439" s="49"/>
    </row>
    <row r="440" ht="15.75" customHeight="1">
      <c r="E440" s="49"/>
    </row>
    <row r="441" ht="15.75" customHeight="1">
      <c r="E441" s="49"/>
    </row>
    <row r="442" ht="15.75" customHeight="1">
      <c r="E442" s="49"/>
    </row>
    <row r="443" ht="15.75" customHeight="1">
      <c r="E443" s="49"/>
    </row>
    <row r="444" ht="15.75" customHeight="1">
      <c r="E444" s="49"/>
    </row>
    <row r="445" ht="15.75" customHeight="1">
      <c r="E445" s="49"/>
    </row>
    <row r="446" ht="15.75" customHeight="1">
      <c r="E446" s="49"/>
    </row>
    <row r="447" ht="15.75" customHeight="1">
      <c r="E447" s="49"/>
    </row>
    <row r="448" ht="15.75" customHeight="1">
      <c r="E448" s="49"/>
    </row>
    <row r="449" ht="15.75" customHeight="1">
      <c r="E449" s="49"/>
    </row>
    <row r="450" ht="15.75" customHeight="1">
      <c r="E450" s="49"/>
    </row>
    <row r="451" ht="15.75" customHeight="1">
      <c r="E451" s="49"/>
    </row>
    <row r="452" ht="15.75" customHeight="1">
      <c r="E452" s="49"/>
    </row>
    <row r="453" ht="15.75" customHeight="1">
      <c r="E453" s="49"/>
    </row>
    <row r="454" ht="15.75" customHeight="1">
      <c r="E454" s="49"/>
    </row>
    <row r="455" ht="15.75" customHeight="1">
      <c r="E455" s="49"/>
    </row>
    <row r="456" ht="15.75" customHeight="1">
      <c r="E456" s="49"/>
    </row>
    <row r="457" ht="15.75" customHeight="1">
      <c r="E457" s="49"/>
    </row>
    <row r="458" ht="15.75" customHeight="1">
      <c r="E458" s="49"/>
    </row>
    <row r="459" ht="15.75" customHeight="1">
      <c r="E459" s="49"/>
    </row>
    <row r="460" ht="15.75" customHeight="1">
      <c r="E460" s="49"/>
    </row>
    <row r="461" ht="15.75" customHeight="1">
      <c r="E461" s="49"/>
    </row>
    <row r="462" ht="15.75" customHeight="1">
      <c r="E462" s="49"/>
    </row>
    <row r="463" ht="15.75" customHeight="1">
      <c r="E463" s="49"/>
    </row>
    <row r="464" ht="15.75" customHeight="1">
      <c r="E464" s="49"/>
    </row>
    <row r="465" ht="15.75" customHeight="1">
      <c r="E465" s="49"/>
    </row>
    <row r="466" ht="15.75" customHeight="1">
      <c r="E466" s="49"/>
    </row>
    <row r="467" ht="15.75" customHeight="1">
      <c r="E467" s="49"/>
    </row>
    <row r="468" ht="15.75" customHeight="1">
      <c r="E468" s="49"/>
    </row>
    <row r="469" ht="15.75" customHeight="1">
      <c r="E469" s="49"/>
    </row>
    <row r="470" ht="15.75" customHeight="1">
      <c r="E470" s="49"/>
    </row>
    <row r="471" ht="15.75" customHeight="1">
      <c r="E471" s="49"/>
    </row>
    <row r="472" ht="15.75" customHeight="1">
      <c r="E472" s="49"/>
    </row>
    <row r="473" ht="15.75" customHeight="1">
      <c r="E473" s="49"/>
    </row>
    <row r="474" ht="15.75" customHeight="1">
      <c r="E474" s="49"/>
    </row>
    <row r="475" ht="15.75" customHeight="1">
      <c r="E475" s="49"/>
    </row>
    <row r="476" ht="15.75" customHeight="1">
      <c r="E476" s="49"/>
    </row>
    <row r="477" ht="15.75" customHeight="1">
      <c r="E477" s="49"/>
    </row>
    <row r="478" ht="15.75" customHeight="1">
      <c r="E478" s="49"/>
    </row>
    <row r="479" ht="15.75" customHeight="1">
      <c r="E479" s="49"/>
    </row>
    <row r="480" ht="15.75" customHeight="1">
      <c r="E480" s="49"/>
    </row>
    <row r="481" ht="15.75" customHeight="1">
      <c r="E481" s="49"/>
    </row>
    <row r="482" ht="15.75" customHeight="1">
      <c r="E482" s="49"/>
    </row>
    <row r="483" ht="15.75" customHeight="1">
      <c r="E483" s="49"/>
    </row>
    <row r="484" ht="15.75" customHeight="1">
      <c r="E484" s="49"/>
    </row>
    <row r="485" ht="15.75" customHeight="1">
      <c r="E485" s="49"/>
    </row>
    <row r="486" ht="15.75" customHeight="1">
      <c r="E486" s="49"/>
    </row>
    <row r="487" ht="15.75" customHeight="1">
      <c r="E487" s="49"/>
    </row>
    <row r="488" ht="15.75" customHeight="1">
      <c r="E488" s="49"/>
    </row>
    <row r="489" ht="15.75" customHeight="1">
      <c r="E489" s="49"/>
    </row>
    <row r="490" ht="15.75" customHeight="1">
      <c r="E490" s="49"/>
    </row>
    <row r="491" ht="15.75" customHeight="1">
      <c r="E491" s="49"/>
    </row>
    <row r="492" ht="15.75" customHeight="1">
      <c r="E492" s="49"/>
    </row>
    <row r="493" ht="15.75" customHeight="1">
      <c r="E493" s="49"/>
    </row>
    <row r="494" ht="15.75" customHeight="1">
      <c r="E494" s="49"/>
    </row>
    <row r="495" ht="15.75" customHeight="1">
      <c r="E495" s="49"/>
    </row>
    <row r="496" ht="15.75" customHeight="1">
      <c r="E496" s="49"/>
    </row>
    <row r="497" ht="15.75" customHeight="1">
      <c r="E497" s="49"/>
    </row>
    <row r="498" ht="15.75" customHeight="1">
      <c r="E498" s="49"/>
    </row>
    <row r="499" ht="15.75" customHeight="1">
      <c r="E499" s="49"/>
    </row>
    <row r="500" ht="15.75" customHeight="1">
      <c r="E500" s="49"/>
    </row>
    <row r="501" ht="15.75" customHeight="1">
      <c r="E501" s="49"/>
    </row>
    <row r="502" ht="15.75" customHeight="1">
      <c r="E502" s="49"/>
    </row>
    <row r="503" ht="15.75" customHeight="1">
      <c r="E503" s="49"/>
    </row>
    <row r="504" ht="15.75" customHeight="1">
      <c r="E504" s="49"/>
    </row>
    <row r="505" ht="15.75" customHeight="1">
      <c r="E505" s="49"/>
    </row>
    <row r="506" ht="15.75" customHeight="1">
      <c r="E506" s="49"/>
    </row>
    <row r="507" ht="15.75" customHeight="1">
      <c r="E507" s="49"/>
    </row>
    <row r="508" ht="15.75" customHeight="1">
      <c r="E508" s="49"/>
    </row>
    <row r="509" ht="15.75" customHeight="1">
      <c r="E509" s="49"/>
    </row>
    <row r="510" ht="15.75" customHeight="1">
      <c r="E510" s="49"/>
    </row>
    <row r="511" ht="15.75" customHeight="1">
      <c r="E511" s="49"/>
    </row>
    <row r="512" ht="15.75" customHeight="1">
      <c r="E512" s="49"/>
    </row>
    <row r="513" ht="15.75" customHeight="1">
      <c r="E513" s="49"/>
    </row>
    <row r="514" ht="15.75" customHeight="1">
      <c r="E514" s="49"/>
    </row>
    <row r="515" ht="15.75" customHeight="1">
      <c r="E515" s="49"/>
    </row>
    <row r="516" ht="15.75" customHeight="1">
      <c r="E516" s="49"/>
    </row>
    <row r="517" ht="15.75" customHeight="1">
      <c r="E517" s="49"/>
    </row>
    <row r="518" ht="15.75" customHeight="1">
      <c r="E518" s="49"/>
    </row>
    <row r="519" ht="15.75" customHeight="1">
      <c r="E519" s="49"/>
    </row>
    <row r="520" ht="15.75" customHeight="1">
      <c r="E520" s="49"/>
    </row>
    <row r="521" ht="15.75" customHeight="1">
      <c r="E521" s="49"/>
    </row>
    <row r="522" ht="15.75" customHeight="1">
      <c r="E522" s="49"/>
    </row>
    <row r="523" ht="15.75" customHeight="1">
      <c r="E523" s="49"/>
    </row>
    <row r="524" ht="15.75" customHeight="1">
      <c r="E524" s="49"/>
    </row>
    <row r="525" ht="15.75" customHeight="1">
      <c r="E525" s="49"/>
    </row>
    <row r="526" ht="15.75" customHeight="1">
      <c r="E526" s="49"/>
    </row>
    <row r="527" ht="15.75" customHeight="1">
      <c r="E527" s="49"/>
    </row>
    <row r="528" ht="15.75" customHeight="1">
      <c r="E528" s="49"/>
    </row>
    <row r="529" ht="15.75" customHeight="1">
      <c r="E529" s="49"/>
    </row>
    <row r="530" ht="15.75" customHeight="1">
      <c r="E530" s="49"/>
    </row>
    <row r="531" ht="15.75" customHeight="1">
      <c r="E531" s="49"/>
    </row>
    <row r="532" ht="15.75" customHeight="1">
      <c r="E532" s="49"/>
    </row>
    <row r="533" ht="15.75" customHeight="1">
      <c r="E533" s="49"/>
    </row>
    <row r="534" ht="15.75" customHeight="1">
      <c r="E534" s="49"/>
    </row>
    <row r="535" ht="15.75" customHeight="1">
      <c r="E535" s="49"/>
    </row>
    <row r="536" ht="15.75" customHeight="1">
      <c r="E536" s="49"/>
    </row>
    <row r="537" ht="15.75" customHeight="1">
      <c r="E537" s="49"/>
    </row>
    <row r="538" ht="15.75" customHeight="1">
      <c r="E538" s="49"/>
    </row>
    <row r="539" ht="15.75" customHeight="1">
      <c r="E539" s="49"/>
    </row>
    <row r="540" ht="15.75" customHeight="1">
      <c r="E540" s="49"/>
    </row>
    <row r="541" ht="15.75" customHeight="1">
      <c r="E541" s="49"/>
    </row>
    <row r="542" ht="15.75" customHeight="1">
      <c r="E542" s="49"/>
    </row>
    <row r="543" ht="15.75" customHeight="1">
      <c r="E543" s="49"/>
    </row>
    <row r="544" ht="15.75" customHeight="1">
      <c r="E544" s="49"/>
    </row>
    <row r="545" ht="15.75" customHeight="1">
      <c r="E545" s="49"/>
    </row>
    <row r="546" ht="15.75" customHeight="1">
      <c r="E546" s="49"/>
    </row>
    <row r="547" ht="15.75" customHeight="1">
      <c r="E547" s="49"/>
    </row>
    <row r="548" ht="15.75" customHeight="1">
      <c r="E548" s="49"/>
    </row>
    <row r="549" ht="15.75" customHeight="1">
      <c r="E549" s="49"/>
    </row>
    <row r="550" ht="15.75" customHeight="1">
      <c r="E550" s="49"/>
    </row>
    <row r="551" ht="15.75" customHeight="1">
      <c r="E551" s="49"/>
    </row>
    <row r="552" ht="15.75" customHeight="1">
      <c r="E552" s="49"/>
    </row>
    <row r="553" ht="15.75" customHeight="1">
      <c r="E553" s="49"/>
    </row>
    <row r="554" ht="15.75" customHeight="1">
      <c r="E554" s="49"/>
    </row>
    <row r="555" ht="15.75" customHeight="1">
      <c r="E555" s="49"/>
    </row>
    <row r="556" ht="15.75" customHeight="1">
      <c r="E556" s="49"/>
    </row>
    <row r="557" ht="15.75" customHeight="1">
      <c r="E557" s="49"/>
    </row>
    <row r="558" ht="15.75" customHeight="1">
      <c r="E558" s="49"/>
    </row>
    <row r="559" ht="15.75" customHeight="1">
      <c r="E559" s="49"/>
    </row>
    <row r="560" ht="15.75" customHeight="1">
      <c r="E560" s="49"/>
    </row>
    <row r="561" ht="15.75" customHeight="1">
      <c r="E561" s="49"/>
    </row>
    <row r="562" ht="15.75" customHeight="1">
      <c r="E562" s="49"/>
    </row>
    <row r="563" ht="15.75" customHeight="1">
      <c r="E563" s="49"/>
    </row>
    <row r="564" ht="15.75" customHeight="1">
      <c r="E564" s="49"/>
    </row>
    <row r="565" ht="15.75" customHeight="1">
      <c r="E565" s="49"/>
    </row>
    <row r="566" ht="15.75" customHeight="1">
      <c r="E566" s="49"/>
    </row>
    <row r="567" ht="15.75" customHeight="1">
      <c r="E567" s="49"/>
    </row>
    <row r="568" ht="15.75" customHeight="1">
      <c r="E568" s="49"/>
    </row>
    <row r="569" ht="15.75" customHeight="1">
      <c r="E569" s="49"/>
    </row>
    <row r="570" ht="15.75" customHeight="1">
      <c r="E570" s="49"/>
    </row>
    <row r="571" ht="15.75" customHeight="1">
      <c r="E571" s="49"/>
    </row>
    <row r="572" ht="15.75" customHeight="1">
      <c r="E572" s="49"/>
    </row>
    <row r="573" ht="15.75" customHeight="1">
      <c r="E573" s="49"/>
    </row>
    <row r="574" ht="15.75" customHeight="1">
      <c r="E574" s="49"/>
    </row>
    <row r="575" ht="15.75" customHeight="1">
      <c r="E575" s="49"/>
    </row>
    <row r="576" ht="15.75" customHeight="1">
      <c r="E576" s="49"/>
    </row>
    <row r="577" ht="15.75" customHeight="1">
      <c r="E577" s="49"/>
    </row>
    <row r="578" ht="15.75" customHeight="1">
      <c r="E578" s="49"/>
    </row>
    <row r="579" ht="15.75" customHeight="1">
      <c r="E579" s="49"/>
    </row>
    <row r="580" ht="15.75" customHeight="1">
      <c r="E580" s="49"/>
    </row>
    <row r="581" ht="15.75" customHeight="1">
      <c r="E581" s="49"/>
    </row>
    <row r="582" ht="15.75" customHeight="1">
      <c r="E582" s="49"/>
    </row>
    <row r="583" ht="15.75" customHeight="1">
      <c r="E583" s="49"/>
    </row>
    <row r="584" ht="15.75" customHeight="1">
      <c r="E584" s="49"/>
    </row>
    <row r="585" ht="15.75" customHeight="1">
      <c r="E585" s="49"/>
    </row>
    <row r="586" ht="15.75" customHeight="1">
      <c r="E586" s="49"/>
    </row>
    <row r="587" ht="15.75" customHeight="1">
      <c r="E587" s="49"/>
    </row>
    <row r="588" ht="15.75" customHeight="1">
      <c r="E588" s="49"/>
    </row>
    <row r="589" ht="15.75" customHeight="1">
      <c r="E589" s="49"/>
    </row>
    <row r="590" ht="15.75" customHeight="1">
      <c r="E590" s="49"/>
    </row>
    <row r="591" ht="15.75" customHeight="1">
      <c r="E591" s="49"/>
    </row>
    <row r="592" ht="15.75" customHeight="1">
      <c r="E592" s="49"/>
    </row>
    <row r="593" ht="15.75" customHeight="1">
      <c r="E593" s="49"/>
    </row>
    <row r="594" ht="15.75" customHeight="1">
      <c r="E594" s="49"/>
    </row>
    <row r="595" ht="15.75" customHeight="1">
      <c r="E595" s="49"/>
    </row>
    <row r="596" ht="15.75" customHeight="1">
      <c r="E596" s="49"/>
    </row>
    <row r="597" ht="15.75" customHeight="1">
      <c r="E597" s="49"/>
    </row>
    <row r="598" ht="15.75" customHeight="1">
      <c r="E598" s="49"/>
    </row>
    <row r="599" ht="15.75" customHeight="1">
      <c r="E599" s="49"/>
    </row>
    <row r="600" ht="15.75" customHeight="1">
      <c r="E600" s="49"/>
    </row>
    <row r="601" ht="15.75" customHeight="1">
      <c r="E601" s="49"/>
    </row>
    <row r="602" ht="15.75" customHeight="1">
      <c r="E602" s="49"/>
    </row>
    <row r="603" ht="15.75" customHeight="1">
      <c r="E603" s="49"/>
    </row>
    <row r="604" ht="15.75" customHeight="1">
      <c r="E604" s="49"/>
    </row>
    <row r="605" ht="15.75" customHeight="1">
      <c r="E605" s="49"/>
    </row>
    <row r="606" ht="15.75" customHeight="1">
      <c r="E606" s="49"/>
    </row>
    <row r="607" ht="15.75" customHeight="1">
      <c r="E607" s="49"/>
    </row>
    <row r="608" ht="15.75" customHeight="1">
      <c r="E608" s="49"/>
    </row>
    <row r="609" ht="15.75" customHeight="1">
      <c r="E609" s="49"/>
    </row>
    <row r="610" ht="15.75" customHeight="1">
      <c r="E610" s="49"/>
    </row>
    <row r="611" ht="15.75" customHeight="1">
      <c r="E611" s="49"/>
    </row>
    <row r="612" ht="15.75" customHeight="1">
      <c r="E612" s="49"/>
    </row>
    <row r="613" ht="15.75" customHeight="1">
      <c r="E613" s="49"/>
    </row>
    <row r="614" ht="15.75" customHeight="1">
      <c r="E614" s="49"/>
    </row>
    <row r="615" ht="15.75" customHeight="1">
      <c r="E615" s="49"/>
    </row>
    <row r="616" ht="15.75" customHeight="1">
      <c r="E616" s="49"/>
    </row>
    <row r="617" ht="15.75" customHeight="1">
      <c r="E617" s="49"/>
    </row>
    <row r="618" ht="15.75" customHeight="1">
      <c r="E618" s="49"/>
    </row>
    <row r="619" ht="15.75" customHeight="1">
      <c r="E619" s="49"/>
    </row>
    <row r="620" ht="15.75" customHeight="1">
      <c r="E620" s="49"/>
    </row>
    <row r="621" ht="15.75" customHeight="1">
      <c r="E621" s="49"/>
    </row>
    <row r="622" ht="15.75" customHeight="1">
      <c r="E622" s="49"/>
    </row>
    <row r="623" ht="15.75" customHeight="1">
      <c r="E623" s="49"/>
    </row>
    <row r="624" ht="15.75" customHeight="1">
      <c r="E624" s="49"/>
    </row>
    <row r="625" ht="15.75" customHeight="1">
      <c r="E625" s="49"/>
    </row>
    <row r="626" ht="15.75" customHeight="1">
      <c r="E626" s="49"/>
    </row>
    <row r="627" ht="15.75" customHeight="1">
      <c r="E627" s="49"/>
    </row>
    <row r="628" ht="15.75" customHeight="1">
      <c r="E628" s="49"/>
    </row>
    <row r="629" ht="15.75" customHeight="1">
      <c r="E629" s="49"/>
    </row>
    <row r="630" ht="15.75" customHeight="1">
      <c r="E630" s="49"/>
    </row>
    <row r="631" ht="15.75" customHeight="1">
      <c r="E631" s="49"/>
    </row>
    <row r="632" ht="15.75" customHeight="1">
      <c r="E632" s="49"/>
    </row>
    <row r="633" ht="15.75" customHeight="1">
      <c r="E633" s="49"/>
    </row>
    <row r="634" ht="15.75" customHeight="1">
      <c r="E634" s="49"/>
    </row>
    <row r="635" ht="15.75" customHeight="1">
      <c r="E635" s="49"/>
    </row>
    <row r="636" ht="15.75" customHeight="1">
      <c r="E636" s="49"/>
    </row>
    <row r="637" ht="15.75" customHeight="1">
      <c r="E637" s="49"/>
    </row>
    <row r="638" ht="15.75" customHeight="1">
      <c r="E638" s="49"/>
    </row>
    <row r="639" ht="15.75" customHeight="1">
      <c r="E639" s="49"/>
    </row>
    <row r="640" ht="15.75" customHeight="1">
      <c r="E640" s="49"/>
    </row>
    <row r="641" ht="15.75" customHeight="1">
      <c r="E641" s="49"/>
    </row>
    <row r="642" ht="15.75" customHeight="1">
      <c r="E642" s="49"/>
    </row>
    <row r="643" ht="15.75" customHeight="1">
      <c r="E643" s="49"/>
    </row>
    <row r="644" ht="15.75" customHeight="1">
      <c r="E644" s="49"/>
    </row>
    <row r="645" ht="15.75" customHeight="1">
      <c r="E645" s="49"/>
    </row>
    <row r="646" ht="15.75" customHeight="1">
      <c r="E646" s="49"/>
    </row>
    <row r="647" ht="15.75" customHeight="1">
      <c r="E647" s="49"/>
    </row>
    <row r="648" ht="15.75" customHeight="1">
      <c r="E648" s="49"/>
    </row>
    <row r="649" ht="15.75" customHeight="1">
      <c r="E649" s="49"/>
    </row>
    <row r="650" ht="15.75" customHeight="1">
      <c r="E650" s="49"/>
    </row>
    <row r="651" ht="15.75" customHeight="1">
      <c r="E651" s="49"/>
    </row>
    <row r="652" ht="15.75" customHeight="1">
      <c r="E652" s="49"/>
    </row>
    <row r="653" ht="15.75" customHeight="1">
      <c r="E653" s="49"/>
    </row>
    <row r="654" ht="15.75" customHeight="1">
      <c r="E654" s="49"/>
    </row>
    <row r="655" ht="15.75" customHeight="1">
      <c r="E655" s="49"/>
    </row>
    <row r="656" ht="15.75" customHeight="1">
      <c r="E656" s="49"/>
    </row>
    <row r="657" ht="15.75" customHeight="1">
      <c r="E657" s="49"/>
    </row>
    <row r="658" ht="15.75" customHeight="1">
      <c r="E658" s="49"/>
    </row>
    <row r="659" ht="15.75" customHeight="1">
      <c r="E659" s="49"/>
    </row>
    <row r="660" ht="15.75" customHeight="1">
      <c r="E660" s="49"/>
    </row>
    <row r="661" ht="15.75" customHeight="1">
      <c r="E661" s="49"/>
    </row>
    <row r="662" ht="15.75" customHeight="1">
      <c r="E662" s="49"/>
    </row>
    <row r="663" ht="15.75" customHeight="1">
      <c r="E663" s="49"/>
    </row>
    <row r="664" ht="15.75" customHeight="1">
      <c r="E664" s="49"/>
    </row>
    <row r="665" ht="15.75" customHeight="1">
      <c r="E665" s="49"/>
    </row>
    <row r="666" ht="15.75" customHeight="1">
      <c r="E666" s="49"/>
    </row>
    <row r="667" ht="15.75" customHeight="1">
      <c r="E667" s="49"/>
    </row>
    <row r="668" ht="15.75" customHeight="1">
      <c r="E668" s="49"/>
    </row>
    <row r="669" ht="15.75" customHeight="1">
      <c r="E669" s="49"/>
    </row>
    <row r="670" ht="15.75" customHeight="1">
      <c r="E670" s="49"/>
    </row>
    <row r="671" ht="15.75" customHeight="1">
      <c r="E671" s="49"/>
    </row>
    <row r="672" ht="15.75" customHeight="1">
      <c r="E672" s="49"/>
    </row>
    <row r="673" ht="15.75" customHeight="1">
      <c r="E673" s="49"/>
    </row>
    <row r="674" ht="15.75" customHeight="1">
      <c r="E674" s="49"/>
    </row>
    <row r="675" ht="15.75" customHeight="1">
      <c r="E675" s="49"/>
    </row>
    <row r="676" ht="15.75" customHeight="1">
      <c r="E676" s="49"/>
    </row>
    <row r="677" ht="15.75" customHeight="1">
      <c r="E677" s="49"/>
    </row>
    <row r="678" ht="15.75" customHeight="1">
      <c r="E678" s="49"/>
    </row>
    <row r="679" ht="15.75" customHeight="1">
      <c r="E679" s="49"/>
    </row>
    <row r="680" ht="15.75" customHeight="1">
      <c r="E680" s="49"/>
    </row>
    <row r="681" ht="15.75" customHeight="1">
      <c r="E681" s="49"/>
    </row>
    <row r="682" ht="15.75" customHeight="1">
      <c r="E682" s="49"/>
    </row>
    <row r="683" ht="15.75" customHeight="1">
      <c r="E683" s="49"/>
    </row>
    <row r="684" ht="15.75" customHeight="1">
      <c r="E684" s="49"/>
    </row>
    <row r="685" ht="15.75" customHeight="1">
      <c r="E685" s="49"/>
    </row>
    <row r="686" ht="15.75" customHeight="1">
      <c r="E686" s="49"/>
    </row>
    <row r="687" ht="15.75" customHeight="1">
      <c r="E687" s="49"/>
    </row>
    <row r="688" ht="15.75" customHeight="1">
      <c r="E688" s="49"/>
    </row>
    <row r="689" ht="15.75" customHeight="1">
      <c r="E689" s="49"/>
    </row>
    <row r="690" ht="15.75" customHeight="1">
      <c r="E690" s="49"/>
    </row>
    <row r="691" ht="15.75" customHeight="1">
      <c r="E691" s="49"/>
    </row>
    <row r="692" ht="15.75" customHeight="1">
      <c r="E692" s="49"/>
    </row>
    <row r="693" ht="15.75" customHeight="1">
      <c r="E693" s="49"/>
    </row>
    <row r="694" ht="15.75" customHeight="1">
      <c r="E694" s="49"/>
    </row>
    <row r="695" ht="15.75" customHeight="1">
      <c r="E695" s="49"/>
    </row>
    <row r="696" ht="15.75" customHeight="1">
      <c r="E696" s="49"/>
    </row>
    <row r="697" ht="15.75" customHeight="1">
      <c r="E697" s="49"/>
    </row>
    <row r="698" ht="15.75" customHeight="1">
      <c r="E698" s="49"/>
    </row>
    <row r="699" ht="15.75" customHeight="1">
      <c r="E699" s="49"/>
    </row>
    <row r="700" ht="15.75" customHeight="1">
      <c r="E700" s="49"/>
    </row>
    <row r="701" ht="15.75" customHeight="1">
      <c r="E701" s="49"/>
    </row>
    <row r="702" ht="15.75" customHeight="1">
      <c r="E702" s="49"/>
    </row>
    <row r="703" ht="15.75" customHeight="1">
      <c r="E703" s="49"/>
    </row>
    <row r="704" ht="15.75" customHeight="1">
      <c r="E704" s="49"/>
    </row>
    <row r="705" ht="15.75" customHeight="1">
      <c r="E705" s="49"/>
    </row>
    <row r="706" ht="15.75" customHeight="1">
      <c r="E706" s="49"/>
    </row>
    <row r="707" ht="15.75" customHeight="1">
      <c r="E707" s="49"/>
    </row>
    <row r="708" ht="15.75" customHeight="1">
      <c r="E708" s="49"/>
    </row>
    <row r="709" ht="15.75" customHeight="1">
      <c r="E709" s="49"/>
    </row>
    <row r="710" ht="15.75" customHeight="1">
      <c r="E710" s="49"/>
    </row>
    <row r="711" ht="15.75" customHeight="1">
      <c r="E711" s="49"/>
    </row>
    <row r="712" ht="15.75" customHeight="1">
      <c r="E712" s="49"/>
    </row>
    <row r="713" ht="15.75" customHeight="1">
      <c r="E713" s="49"/>
    </row>
    <row r="714" ht="15.75" customHeight="1">
      <c r="E714" s="49"/>
    </row>
    <row r="715" ht="15.75" customHeight="1">
      <c r="E715" s="49"/>
    </row>
    <row r="716" ht="15.75" customHeight="1">
      <c r="E716" s="49"/>
    </row>
    <row r="717" ht="15.75" customHeight="1">
      <c r="E717" s="49"/>
    </row>
    <row r="718" ht="15.75" customHeight="1">
      <c r="E718" s="49"/>
    </row>
    <row r="719" ht="15.75" customHeight="1">
      <c r="E719" s="49"/>
    </row>
    <row r="720" ht="15.75" customHeight="1">
      <c r="E720" s="49"/>
    </row>
    <row r="721" ht="15.75" customHeight="1">
      <c r="E721" s="49"/>
    </row>
    <row r="722" ht="15.75" customHeight="1">
      <c r="E722" s="49"/>
    </row>
    <row r="723" ht="15.75" customHeight="1">
      <c r="E723" s="49"/>
    </row>
    <row r="724" ht="15.75" customHeight="1">
      <c r="E724" s="49"/>
    </row>
    <row r="725" ht="15.75" customHeight="1">
      <c r="E725" s="49"/>
    </row>
    <row r="726" ht="15.75" customHeight="1">
      <c r="E726" s="49"/>
    </row>
    <row r="727" ht="15.75" customHeight="1">
      <c r="E727" s="49"/>
    </row>
    <row r="728" ht="15.75" customHeight="1">
      <c r="E728" s="49"/>
    </row>
    <row r="729" ht="15.75" customHeight="1">
      <c r="E729" s="49"/>
    </row>
    <row r="730" ht="15.75" customHeight="1">
      <c r="E730" s="49"/>
    </row>
    <row r="731" ht="15.75" customHeight="1">
      <c r="E731" s="49"/>
    </row>
    <row r="732" ht="15.75" customHeight="1">
      <c r="E732" s="49"/>
    </row>
    <row r="733" ht="15.75" customHeight="1">
      <c r="E733" s="49"/>
    </row>
    <row r="734" ht="15.75" customHeight="1">
      <c r="E734" s="49"/>
    </row>
    <row r="735" ht="15.75" customHeight="1">
      <c r="E735" s="49"/>
    </row>
    <row r="736" ht="15.75" customHeight="1">
      <c r="E736" s="49"/>
    </row>
    <row r="737" ht="15.75" customHeight="1">
      <c r="E737" s="49"/>
    </row>
    <row r="738" ht="15.75" customHeight="1">
      <c r="E738" s="49"/>
    </row>
    <row r="739" ht="15.75" customHeight="1">
      <c r="E739" s="49"/>
    </row>
    <row r="740" ht="15.75" customHeight="1">
      <c r="E740" s="49"/>
    </row>
    <row r="741" ht="15.75" customHeight="1">
      <c r="E741" s="49"/>
    </row>
    <row r="742" ht="15.75" customHeight="1">
      <c r="E742" s="49"/>
    </row>
    <row r="743" ht="15.75" customHeight="1">
      <c r="E743" s="49"/>
    </row>
    <row r="744" ht="15.75" customHeight="1">
      <c r="E744" s="49"/>
    </row>
    <row r="745" ht="15.75" customHeight="1">
      <c r="E745" s="49"/>
    </row>
    <row r="746" ht="15.75" customHeight="1">
      <c r="E746" s="49"/>
    </row>
    <row r="747" ht="15.75" customHeight="1">
      <c r="E747" s="49"/>
    </row>
    <row r="748" ht="15.75" customHeight="1">
      <c r="E748" s="49"/>
    </row>
    <row r="749" ht="15.75" customHeight="1">
      <c r="E749" s="49"/>
    </row>
    <row r="750" ht="15.75" customHeight="1">
      <c r="E750" s="49"/>
    </row>
    <row r="751" ht="15.75" customHeight="1">
      <c r="E751" s="49"/>
    </row>
    <row r="752" ht="15.75" customHeight="1">
      <c r="E752" s="49"/>
    </row>
    <row r="753" ht="15.75" customHeight="1">
      <c r="E753" s="49"/>
    </row>
    <row r="754" ht="15.75" customHeight="1">
      <c r="E754" s="49"/>
    </row>
    <row r="755" ht="15.75" customHeight="1">
      <c r="E755" s="49"/>
    </row>
    <row r="756" ht="15.75" customHeight="1">
      <c r="E756" s="49"/>
    </row>
    <row r="757" ht="15.75" customHeight="1">
      <c r="E757" s="49"/>
    </row>
    <row r="758" ht="15.75" customHeight="1">
      <c r="E758" s="49"/>
    </row>
    <row r="759" ht="15.75" customHeight="1">
      <c r="E759" s="49"/>
    </row>
    <row r="760" ht="15.75" customHeight="1">
      <c r="E760" s="49"/>
    </row>
    <row r="761" ht="15.75" customHeight="1">
      <c r="E761" s="49"/>
    </row>
    <row r="762" ht="15.75" customHeight="1">
      <c r="E762" s="49"/>
    </row>
    <row r="763" ht="15.75" customHeight="1">
      <c r="E763" s="49"/>
    </row>
    <row r="764" ht="15.75" customHeight="1">
      <c r="E764" s="49"/>
    </row>
    <row r="765" ht="15.75" customHeight="1">
      <c r="E765" s="49"/>
    </row>
    <row r="766" ht="15.75" customHeight="1">
      <c r="E766" s="49"/>
    </row>
    <row r="767" ht="15.75" customHeight="1">
      <c r="E767" s="49"/>
    </row>
    <row r="768" ht="15.75" customHeight="1">
      <c r="E768" s="49"/>
    </row>
    <row r="769" ht="15.75" customHeight="1">
      <c r="E769" s="49"/>
    </row>
    <row r="770" ht="15.75" customHeight="1">
      <c r="E770" s="49"/>
    </row>
    <row r="771" ht="15.75" customHeight="1">
      <c r="E771" s="49"/>
    </row>
    <row r="772" ht="15.75" customHeight="1">
      <c r="E772" s="49"/>
    </row>
    <row r="773" ht="15.75" customHeight="1">
      <c r="E773" s="49"/>
    </row>
    <row r="774" ht="15.75" customHeight="1">
      <c r="E774" s="49"/>
    </row>
    <row r="775" ht="15.75" customHeight="1">
      <c r="E775" s="49"/>
    </row>
    <row r="776" ht="15.75" customHeight="1">
      <c r="E776" s="49"/>
    </row>
    <row r="777" ht="15.75" customHeight="1">
      <c r="E777" s="49"/>
    </row>
    <row r="778" ht="15.75" customHeight="1">
      <c r="E778" s="49"/>
    </row>
    <row r="779" ht="15.75" customHeight="1">
      <c r="E779" s="49"/>
    </row>
    <row r="780" ht="15.75" customHeight="1">
      <c r="E780" s="49"/>
    </row>
    <row r="781" ht="15.75" customHeight="1">
      <c r="E781" s="49"/>
    </row>
    <row r="782" ht="15.75" customHeight="1">
      <c r="E782" s="49"/>
    </row>
    <row r="783" ht="15.75" customHeight="1">
      <c r="E783" s="49"/>
    </row>
    <row r="784" ht="15.75" customHeight="1">
      <c r="E784" s="49"/>
    </row>
    <row r="785" ht="15.75" customHeight="1">
      <c r="E785" s="49"/>
    </row>
    <row r="786" ht="15.75" customHeight="1">
      <c r="E786" s="49"/>
    </row>
    <row r="787" ht="15.75" customHeight="1">
      <c r="E787" s="49"/>
    </row>
    <row r="788" ht="15.75" customHeight="1">
      <c r="E788" s="49"/>
    </row>
    <row r="789" ht="15.75" customHeight="1">
      <c r="E789" s="49"/>
    </row>
    <row r="790" ht="15.75" customHeight="1">
      <c r="E790" s="49"/>
    </row>
    <row r="791" ht="15.75" customHeight="1">
      <c r="E791" s="49"/>
    </row>
    <row r="792" ht="15.75" customHeight="1">
      <c r="E792" s="49"/>
    </row>
    <row r="793" ht="15.75" customHeight="1">
      <c r="E793" s="49"/>
    </row>
    <row r="794" ht="15.75" customHeight="1">
      <c r="E794" s="49"/>
    </row>
    <row r="795" ht="15.75" customHeight="1">
      <c r="E795" s="49"/>
    </row>
    <row r="796" ht="15.75" customHeight="1">
      <c r="E796" s="49"/>
    </row>
    <row r="797" ht="15.75" customHeight="1">
      <c r="E797" s="49"/>
    </row>
    <row r="798" ht="15.75" customHeight="1">
      <c r="E798" s="49"/>
    </row>
    <row r="799" ht="15.75" customHeight="1">
      <c r="E799" s="49"/>
    </row>
    <row r="800" ht="15.75" customHeight="1">
      <c r="E800" s="49"/>
    </row>
    <row r="801" ht="15.75" customHeight="1">
      <c r="E801" s="49"/>
    </row>
    <row r="802" ht="15.75" customHeight="1">
      <c r="E802" s="49"/>
    </row>
    <row r="803" ht="15.75" customHeight="1">
      <c r="E803" s="49"/>
    </row>
    <row r="804" ht="15.75" customHeight="1">
      <c r="E804" s="49"/>
    </row>
    <row r="805" ht="15.75" customHeight="1">
      <c r="E805" s="49"/>
    </row>
    <row r="806" ht="15.75" customHeight="1">
      <c r="E806" s="49"/>
    </row>
    <row r="807" ht="15.75" customHeight="1">
      <c r="E807" s="49"/>
    </row>
    <row r="808" ht="15.75" customHeight="1">
      <c r="E808" s="49"/>
    </row>
    <row r="809" ht="15.75" customHeight="1">
      <c r="E809" s="49"/>
    </row>
    <row r="810" ht="15.75" customHeight="1">
      <c r="E810" s="49"/>
    </row>
    <row r="811" ht="15.75" customHeight="1">
      <c r="E811" s="49"/>
    </row>
    <row r="812" ht="15.75" customHeight="1">
      <c r="E812" s="49"/>
    </row>
    <row r="813" ht="15.75" customHeight="1">
      <c r="E813" s="49"/>
    </row>
    <row r="814" ht="15.75" customHeight="1">
      <c r="E814" s="49"/>
    </row>
    <row r="815" ht="15.75" customHeight="1">
      <c r="E815" s="49"/>
    </row>
    <row r="816" ht="15.75" customHeight="1">
      <c r="E816" s="49"/>
    </row>
    <row r="817" ht="15.75" customHeight="1">
      <c r="E817" s="49"/>
    </row>
    <row r="818" ht="15.75" customHeight="1">
      <c r="E818" s="49"/>
    </row>
    <row r="819" ht="15.75" customHeight="1">
      <c r="E819" s="49"/>
    </row>
    <row r="820" ht="15.75" customHeight="1">
      <c r="E820" s="49"/>
    </row>
    <row r="821" ht="15.75" customHeight="1">
      <c r="E821" s="49"/>
    </row>
    <row r="822" ht="15.75" customHeight="1">
      <c r="E822" s="49"/>
    </row>
    <row r="823" ht="15.75" customHeight="1">
      <c r="E823" s="49"/>
    </row>
    <row r="824" ht="15.75" customHeight="1">
      <c r="E824" s="49"/>
    </row>
    <row r="825" ht="15.75" customHeight="1">
      <c r="E825" s="49"/>
    </row>
    <row r="826" ht="15.75" customHeight="1">
      <c r="E826" s="49"/>
    </row>
    <row r="827" ht="15.75" customHeight="1">
      <c r="E827" s="49"/>
    </row>
    <row r="828" ht="15.75" customHeight="1">
      <c r="E828" s="49"/>
    </row>
    <row r="829" ht="15.75" customHeight="1">
      <c r="E829" s="49"/>
    </row>
    <row r="830" ht="15.75" customHeight="1">
      <c r="E830" s="49"/>
    </row>
    <row r="831" ht="15.75" customHeight="1">
      <c r="E831" s="49"/>
    </row>
    <row r="832" ht="15.75" customHeight="1">
      <c r="E832" s="49"/>
    </row>
    <row r="833" ht="15.75" customHeight="1">
      <c r="E833" s="49"/>
    </row>
    <row r="834" ht="15.75" customHeight="1">
      <c r="E834" s="49"/>
    </row>
    <row r="835" ht="15.75" customHeight="1">
      <c r="E835" s="49"/>
    </row>
    <row r="836" ht="15.75" customHeight="1">
      <c r="E836" s="49"/>
    </row>
    <row r="837" ht="15.75" customHeight="1">
      <c r="E837" s="49"/>
    </row>
    <row r="838" ht="15.75" customHeight="1">
      <c r="E838" s="49"/>
    </row>
    <row r="839" ht="15.75" customHeight="1">
      <c r="E839" s="49"/>
    </row>
    <row r="840" ht="15.75" customHeight="1">
      <c r="E840" s="49"/>
    </row>
    <row r="841" ht="15.75" customHeight="1">
      <c r="E841" s="49"/>
    </row>
    <row r="842" ht="15.75" customHeight="1">
      <c r="E842" s="49"/>
    </row>
    <row r="843" ht="15.75" customHeight="1">
      <c r="E843" s="49"/>
    </row>
    <row r="844" ht="15.75" customHeight="1">
      <c r="E844" s="49"/>
    </row>
    <row r="845" ht="15.75" customHeight="1">
      <c r="E845" s="49"/>
    </row>
    <row r="846" ht="15.75" customHeight="1">
      <c r="E846" s="49"/>
    </row>
    <row r="847" ht="15.75" customHeight="1">
      <c r="E847" s="49"/>
    </row>
    <row r="848" ht="15.75" customHeight="1">
      <c r="E848" s="49"/>
    </row>
    <row r="849" ht="15.75" customHeight="1">
      <c r="E849" s="49"/>
    </row>
    <row r="850" ht="15.75" customHeight="1">
      <c r="E850" s="49"/>
    </row>
    <row r="851" ht="15.75" customHeight="1">
      <c r="E851" s="49"/>
    </row>
    <row r="852" ht="15.75" customHeight="1">
      <c r="E852" s="49"/>
    </row>
    <row r="853" ht="15.75" customHeight="1">
      <c r="E853" s="49"/>
    </row>
    <row r="854" ht="15.75" customHeight="1">
      <c r="E854" s="49"/>
    </row>
    <row r="855" ht="15.75" customHeight="1">
      <c r="E855" s="49"/>
    </row>
    <row r="856" ht="15.75" customHeight="1">
      <c r="E856" s="49"/>
    </row>
    <row r="857" ht="15.75" customHeight="1">
      <c r="E857" s="49"/>
    </row>
    <row r="858" ht="15.75" customHeight="1">
      <c r="E858" s="49"/>
    </row>
    <row r="859" ht="15.75" customHeight="1">
      <c r="E859" s="49"/>
    </row>
    <row r="860" ht="15.75" customHeight="1">
      <c r="E860" s="49"/>
    </row>
    <row r="861" ht="15.75" customHeight="1">
      <c r="E861" s="49"/>
    </row>
    <row r="862" ht="15.75" customHeight="1">
      <c r="E862" s="49"/>
    </row>
    <row r="863" ht="15.75" customHeight="1">
      <c r="E863" s="49"/>
    </row>
    <row r="864" ht="15.75" customHeight="1">
      <c r="E864" s="49"/>
    </row>
    <row r="865" ht="15.75" customHeight="1">
      <c r="E865" s="49"/>
    </row>
    <row r="866" ht="15.75" customHeight="1">
      <c r="E866" s="49"/>
    </row>
    <row r="867" ht="15.75" customHeight="1">
      <c r="E867" s="49"/>
    </row>
    <row r="868" ht="15.75" customHeight="1">
      <c r="E868" s="49"/>
    </row>
    <row r="869" ht="15.75" customHeight="1">
      <c r="E869" s="49"/>
    </row>
    <row r="870" ht="15.75" customHeight="1">
      <c r="E870" s="49"/>
    </row>
    <row r="871" ht="15.75" customHeight="1">
      <c r="E871" s="49"/>
    </row>
    <row r="872" ht="15.75" customHeight="1">
      <c r="E872" s="49"/>
    </row>
    <row r="873" ht="15.75" customHeight="1">
      <c r="E873" s="49"/>
    </row>
    <row r="874" ht="15.75" customHeight="1">
      <c r="E874" s="49"/>
    </row>
    <row r="875" ht="15.75" customHeight="1">
      <c r="E875" s="49"/>
    </row>
    <row r="876" ht="15.75" customHeight="1">
      <c r="E876" s="49"/>
    </row>
    <row r="877" ht="15.75" customHeight="1">
      <c r="E877" s="49"/>
    </row>
    <row r="878" ht="15.75" customHeight="1">
      <c r="E878" s="49"/>
    </row>
    <row r="879" ht="15.75" customHeight="1">
      <c r="E879" s="49"/>
    </row>
    <row r="880" ht="15.75" customHeight="1">
      <c r="E880" s="49"/>
    </row>
    <row r="881" ht="15.75" customHeight="1">
      <c r="E881" s="49"/>
    </row>
    <row r="882" ht="15.75" customHeight="1">
      <c r="E882" s="49"/>
    </row>
    <row r="883" ht="15.75" customHeight="1">
      <c r="E883" s="49"/>
    </row>
    <row r="884" ht="15.75" customHeight="1">
      <c r="E884" s="49"/>
    </row>
    <row r="885" ht="15.75" customHeight="1">
      <c r="E885" s="49"/>
    </row>
    <row r="886" ht="15.75" customHeight="1">
      <c r="E886" s="49"/>
    </row>
    <row r="887" ht="15.75" customHeight="1">
      <c r="E887" s="49"/>
    </row>
    <row r="888" ht="15.75" customHeight="1">
      <c r="E888" s="49"/>
    </row>
    <row r="889" ht="15.75" customHeight="1">
      <c r="E889" s="49"/>
    </row>
    <row r="890" ht="15.75" customHeight="1">
      <c r="E890" s="49"/>
    </row>
    <row r="891" ht="15.75" customHeight="1">
      <c r="E891" s="49"/>
    </row>
    <row r="892" ht="15.75" customHeight="1">
      <c r="E892" s="49"/>
    </row>
    <row r="893" ht="15.75" customHeight="1">
      <c r="E893" s="49"/>
    </row>
    <row r="894" ht="15.75" customHeight="1">
      <c r="E894" s="49"/>
    </row>
    <row r="895" ht="15.75" customHeight="1">
      <c r="E895" s="49"/>
    </row>
    <row r="896" ht="15.75" customHeight="1">
      <c r="E896" s="49"/>
    </row>
    <row r="897" ht="15.75" customHeight="1">
      <c r="E897" s="49"/>
    </row>
    <row r="898" ht="15.75" customHeight="1">
      <c r="E898" s="49"/>
    </row>
    <row r="899" ht="15.75" customHeight="1">
      <c r="E899" s="49"/>
    </row>
    <row r="900" ht="15.75" customHeight="1">
      <c r="E900" s="49"/>
    </row>
    <row r="901" ht="15.75" customHeight="1">
      <c r="E901" s="49"/>
    </row>
    <row r="902" ht="15.75" customHeight="1">
      <c r="E902" s="49"/>
    </row>
    <row r="903" ht="15.75" customHeight="1">
      <c r="E903" s="49"/>
    </row>
    <row r="904" ht="15.75" customHeight="1">
      <c r="E904" s="49"/>
    </row>
    <row r="905" ht="15.75" customHeight="1">
      <c r="E905" s="49"/>
    </row>
    <row r="906" ht="15.75" customHeight="1">
      <c r="E906" s="49"/>
    </row>
    <row r="907" ht="15.75" customHeight="1">
      <c r="E907" s="49"/>
    </row>
    <row r="908" ht="15.75" customHeight="1">
      <c r="E908" s="49"/>
    </row>
    <row r="909" ht="15.75" customHeight="1">
      <c r="E909" s="49"/>
    </row>
    <row r="910" ht="15.75" customHeight="1">
      <c r="E910" s="49"/>
    </row>
    <row r="911" ht="15.75" customHeight="1">
      <c r="E911" s="49"/>
    </row>
    <row r="912" ht="15.75" customHeight="1">
      <c r="E912" s="49"/>
    </row>
    <row r="913" ht="15.75" customHeight="1">
      <c r="E913" s="49"/>
    </row>
    <row r="914" ht="15.75" customHeight="1">
      <c r="E914" s="49"/>
    </row>
    <row r="915" ht="15.75" customHeight="1">
      <c r="E915" s="49"/>
    </row>
    <row r="916" ht="15.75" customHeight="1">
      <c r="E916" s="49"/>
    </row>
    <row r="917" ht="15.75" customHeight="1">
      <c r="E917" s="49"/>
    </row>
    <row r="918" ht="15.75" customHeight="1">
      <c r="E918" s="49"/>
    </row>
    <row r="919" ht="15.75" customHeight="1">
      <c r="E919" s="49"/>
    </row>
    <row r="920" ht="15.75" customHeight="1">
      <c r="E920" s="49"/>
    </row>
    <row r="921" ht="15.75" customHeight="1">
      <c r="E921" s="49"/>
    </row>
    <row r="922" ht="15.75" customHeight="1">
      <c r="E922" s="49"/>
    </row>
    <row r="923" ht="15.75" customHeight="1">
      <c r="E923" s="49"/>
    </row>
    <row r="924" ht="15.75" customHeight="1">
      <c r="E924" s="49"/>
    </row>
    <row r="925" ht="15.75" customHeight="1">
      <c r="E925" s="49"/>
    </row>
    <row r="926" ht="15.75" customHeight="1">
      <c r="E926" s="49"/>
    </row>
    <row r="927" ht="15.75" customHeight="1">
      <c r="E927" s="49"/>
    </row>
    <row r="928" ht="15.75" customHeight="1">
      <c r="E928" s="49"/>
    </row>
    <row r="929" ht="15.75" customHeight="1">
      <c r="E929" s="49"/>
    </row>
    <row r="930" ht="15.75" customHeight="1">
      <c r="E930" s="49"/>
    </row>
    <row r="931" ht="15.75" customHeight="1">
      <c r="E931" s="49"/>
    </row>
    <row r="932" ht="15.75" customHeight="1">
      <c r="E932" s="49"/>
    </row>
    <row r="933" ht="15.75" customHeight="1">
      <c r="E933" s="49"/>
    </row>
    <row r="934" ht="15.75" customHeight="1">
      <c r="E934" s="49"/>
    </row>
    <row r="935" ht="15.75" customHeight="1">
      <c r="E935" s="49"/>
    </row>
    <row r="936" ht="15.75" customHeight="1">
      <c r="E936" s="49"/>
    </row>
    <row r="937" ht="15.75" customHeight="1">
      <c r="E937" s="49"/>
    </row>
    <row r="938" ht="15.75" customHeight="1">
      <c r="E938" s="49"/>
    </row>
    <row r="939" ht="15.75" customHeight="1">
      <c r="E939" s="49"/>
    </row>
    <row r="940" ht="15.75" customHeight="1">
      <c r="E940" s="49"/>
    </row>
    <row r="941" ht="15.75" customHeight="1">
      <c r="E941" s="49"/>
    </row>
    <row r="942" ht="15.75" customHeight="1">
      <c r="E942" s="49"/>
    </row>
    <row r="943" ht="15.75" customHeight="1">
      <c r="E943" s="49"/>
    </row>
    <row r="944" ht="15.75" customHeight="1">
      <c r="E944" s="49"/>
    </row>
    <row r="945" ht="15.75" customHeight="1">
      <c r="E945" s="49"/>
    </row>
    <row r="946" ht="15.75" customHeight="1">
      <c r="E946" s="49"/>
    </row>
    <row r="947" ht="15.75" customHeight="1">
      <c r="E947" s="49"/>
    </row>
    <row r="948" ht="15.75" customHeight="1">
      <c r="E948" s="49"/>
    </row>
    <row r="949" ht="15.75" customHeight="1">
      <c r="E949" s="49"/>
    </row>
    <row r="950" ht="15.75" customHeight="1">
      <c r="E950" s="49"/>
    </row>
    <row r="951" ht="15.75" customHeight="1">
      <c r="E951" s="49"/>
    </row>
    <row r="952" ht="15.75" customHeight="1">
      <c r="E952" s="49"/>
    </row>
    <row r="953" ht="15.75" customHeight="1">
      <c r="E953" s="49"/>
    </row>
    <row r="954" ht="15.75" customHeight="1">
      <c r="E954" s="49"/>
    </row>
    <row r="955" ht="15.75" customHeight="1">
      <c r="E955" s="49"/>
    </row>
    <row r="956" ht="15.75" customHeight="1">
      <c r="E956" s="49"/>
    </row>
    <row r="957" ht="15.75" customHeight="1">
      <c r="E957" s="49"/>
    </row>
    <row r="958" ht="15.75" customHeight="1">
      <c r="E958" s="49"/>
    </row>
    <row r="959" ht="15.75" customHeight="1">
      <c r="E959" s="49"/>
    </row>
    <row r="960" ht="15.75" customHeight="1">
      <c r="E960" s="49"/>
    </row>
    <row r="961" ht="15.75" customHeight="1">
      <c r="E961" s="49"/>
    </row>
    <row r="962" ht="15.75" customHeight="1">
      <c r="E962" s="49"/>
    </row>
    <row r="963" ht="15.75" customHeight="1">
      <c r="E963" s="49"/>
    </row>
    <row r="964" ht="15.75" customHeight="1">
      <c r="E964" s="49"/>
    </row>
    <row r="965" ht="15.75" customHeight="1">
      <c r="E965" s="49"/>
    </row>
    <row r="966" ht="15.75" customHeight="1">
      <c r="E966" s="49"/>
    </row>
    <row r="967" ht="15.75" customHeight="1">
      <c r="E967" s="49"/>
    </row>
    <row r="968" ht="15.75" customHeight="1">
      <c r="E968" s="49"/>
    </row>
    <row r="969" ht="15.75" customHeight="1">
      <c r="E969" s="49"/>
    </row>
    <row r="970" ht="15.75" customHeight="1">
      <c r="E970" s="49"/>
    </row>
    <row r="971" ht="15.75" customHeight="1">
      <c r="E971" s="49"/>
    </row>
    <row r="972" ht="15.75" customHeight="1">
      <c r="E972" s="49"/>
    </row>
    <row r="973" ht="15.75" customHeight="1">
      <c r="E973" s="49"/>
    </row>
    <row r="974" ht="15.75" customHeight="1">
      <c r="E974" s="49"/>
    </row>
    <row r="975" ht="15.75" customHeight="1">
      <c r="E975" s="49"/>
    </row>
    <row r="976" ht="15.75" customHeight="1">
      <c r="E976" s="49"/>
    </row>
    <row r="977" ht="15.75" customHeight="1">
      <c r="E977" s="49"/>
    </row>
    <row r="978" ht="15.75" customHeight="1">
      <c r="E978" s="49"/>
    </row>
    <row r="979" ht="15.75" customHeight="1">
      <c r="E979" s="49"/>
    </row>
    <row r="980" ht="15.75" customHeight="1">
      <c r="E980" s="49"/>
    </row>
    <row r="981" ht="15.75" customHeight="1">
      <c r="E981" s="49"/>
    </row>
    <row r="982" ht="15.75" customHeight="1">
      <c r="E982" s="49"/>
    </row>
    <row r="983" ht="15.75" customHeight="1">
      <c r="E983" s="49"/>
    </row>
    <row r="984" ht="15.75" customHeight="1">
      <c r="E984" s="49"/>
    </row>
    <row r="985" ht="15.75" customHeight="1">
      <c r="E985" s="49"/>
    </row>
    <row r="986" ht="15.75" customHeight="1">
      <c r="E986" s="49"/>
    </row>
    <row r="987" ht="15.75" customHeight="1">
      <c r="E987" s="49"/>
    </row>
    <row r="988" ht="15.75" customHeight="1">
      <c r="E988" s="49"/>
    </row>
    <row r="989" ht="15.75" customHeight="1">
      <c r="E989" s="49"/>
    </row>
    <row r="990" ht="15.75" customHeight="1">
      <c r="E990" s="49"/>
    </row>
    <row r="991" ht="15.75" customHeight="1">
      <c r="E991" s="49"/>
    </row>
    <row r="992" ht="15.75" customHeight="1">
      <c r="E992" s="49"/>
    </row>
    <row r="993" ht="15.75" customHeight="1">
      <c r="E993" s="49"/>
    </row>
    <row r="994" ht="15.75" customHeight="1">
      <c r="E994" s="49"/>
    </row>
    <row r="995" ht="15.75" customHeight="1">
      <c r="E995" s="49"/>
    </row>
    <row r="996" ht="15.75" customHeight="1">
      <c r="E996" s="49"/>
    </row>
    <row r="997" ht="15.75" customHeight="1">
      <c r="E997" s="49"/>
    </row>
    <row r="998" ht="15.75" customHeight="1">
      <c r="E998" s="49"/>
    </row>
    <row r="999" ht="15.75" customHeight="1">
      <c r="E999" s="49"/>
    </row>
    <row r="1000" ht="15.75" customHeight="1">
      <c r="E1000" s="49"/>
    </row>
    <row r="1001" ht="15.75" customHeight="1">
      <c r="E1001" s="49"/>
    </row>
    <row r="1002" ht="15.75" customHeight="1">
      <c r="E1002" s="49"/>
    </row>
    <row r="1003" ht="15.75" customHeight="1">
      <c r="E1003" s="49"/>
    </row>
    <row r="1004" ht="15.75" customHeight="1">
      <c r="E1004" s="49"/>
    </row>
    <row r="1005" ht="15.75" customHeight="1">
      <c r="E1005" s="49"/>
    </row>
    <row r="1006" ht="15.75" customHeight="1">
      <c r="E1006" s="49"/>
    </row>
    <row r="1007" ht="15.75" customHeight="1">
      <c r="E1007" s="49"/>
    </row>
    <row r="1008" ht="15.75" customHeight="1">
      <c r="E1008" s="49"/>
    </row>
    <row r="1009" ht="15.75" customHeight="1">
      <c r="E1009" s="49"/>
    </row>
    <row r="1010" ht="15.75" customHeight="1">
      <c r="E1010" s="49"/>
    </row>
    <row r="1011" ht="15.75" customHeight="1">
      <c r="E1011" s="49"/>
    </row>
    <row r="1012" ht="15.75" customHeight="1">
      <c r="E1012" s="49"/>
    </row>
    <row r="1013" ht="15.75" customHeight="1">
      <c r="E1013" s="49"/>
    </row>
    <row r="1014" ht="15.75" customHeight="1">
      <c r="E1014" s="49"/>
    </row>
  </sheetData>
  <mergeCells count="19">
    <mergeCell ref="A1:E1"/>
    <mergeCell ref="B3:E3"/>
    <mergeCell ref="B59:E59"/>
    <mergeCell ref="B62:E62"/>
    <mergeCell ref="B68:E68"/>
    <mergeCell ref="B74:E74"/>
    <mergeCell ref="B81:E81"/>
    <mergeCell ref="B195:E195"/>
    <mergeCell ref="B198:E198"/>
    <mergeCell ref="B201:E201"/>
    <mergeCell ref="B208:E208"/>
    <mergeCell ref="B285:E285"/>
    <mergeCell ref="B85:E85"/>
    <mergeCell ref="B156:E156"/>
    <mergeCell ref="B162:E162"/>
    <mergeCell ref="B171:E171"/>
    <mergeCell ref="B175:E175"/>
    <mergeCell ref="B180:E180"/>
    <mergeCell ref="B190:E190"/>
  </mergeCells>
  <hyperlinks>
    <hyperlink r:id="rId1" ref="C9"/>
    <hyperlink r:id="rId2" ref="C10"/>
    <hyperlink r:id="rId3" ref="B50"/>
    <hyperlink r:id="rId4" ref="C50"/>
    <hyperlink r:id="rId5" ref="D50"/>
    <hyperlink r:id="rId6" ref="B181"/>
    <hyperlink r:id="rId7" ref="C181"/>
    <hyperlink r:id="rId8" ref="D181"/>
    <hyperlink r:id="rId9" ref="B185"/>
    <hyperlink r:id="rId10" ref="C185"/>
    <hyperlink r:id="rId11" ref="D185"/>
    <hyperlink r:id="rId12" ref="D186"/>
    <hyperlink r:id="rId13" ref="B188"/>
    <hyperlink r:id="rId14" ref="C188"/>
    <hyperlink r:id="rId15" ref="D188"/>
    <hyperlink r:id="rId16" ref="B199"/>
    <hyperlink r:id="rId17" ref="C199"/>
    <hyperlink r:id="rId18" ref="D199"/>
    <hyperlink r:id="rId19" ref="B205"/>
    <hyperlink r:id="rId20" ref="B211"/>
    <hyperlink r:id="rId21" ref="C211"/>
    <hyperlink r:id="rId22" ref="D211"/>
    <hyperlink r:id="rId23" ref="B237"/>
    <hyperlink r:id="rId24" ref="C237"/>
    <hyperlink r:id="rId25" ref="D237"/>
    <hyperlink r:id="rId26" ref="B244"/>
    <hyperlink r:id="rId27" ref="C244"/>
    <hyperlink r:id="rId28" ref="D244"/>
    <hyperlink r:id="rId29" ref="B264"/>
    <hyperlink r:id="rId30" ref="C264"/>
    <hyperlink r:id="rId31" ref="D264"/>
    <hyperlink r:id="rId32" ref="B288"/>
    <hyperlink r:id="rId33" ref="C288"/>
    <hyperlink r:id="rId34" ref="D288"/>
  </hyperlinks>
  <printOptions/>
  <pageMargins bottom="0.75" footer="0.0" header="0.0" left="0.7" right="0.7" top="0.75"/>
  <pageSetup paperSize="9" orientation="portrait"/>
  <drawing r:id="rId35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2017-03-19T20:55:17Z</dcterms:created>
  <dc:creator>Georg</dc:creator>
</cp:coreProperties>
</file>